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14.xml" ContentType="application/vnd.openxmlformats-officedocument.drawing+xml"/>
  <Override PartName="/xl/drawings/drawing13.xml" ContentType="application/vnd.openxmlformats-officedocument.drawing+xml"/>
  <Override PartName="/xl/drawings/drawing12.xml" ContentType="application/vnd.openxmlformats-officedocument.drawing+xml"/>
  <Override PartName="/xl/worksheets/sheet2.xml" ContentType="application/vnd.openxmlformats-officedocument.spreadsheetml.worksheet+xml"/>
  <Override PartName="/xl/drawings/drawing11.xml" ContentType="application/vnd.openxmlformats-officedocument.drawing+xml"/>
  <Override PartName="/xl/worksheets/sheet1.xml" ContentType="application/vnd.openxmlformats-officedocument.spreadsheetml.worksheet+xml"/>
  <Override PartName="/xl/drawings/drawing7.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drawings/drawing10.xml" ContentType="application/vnd.openxmlformats-officedocument.drawing+xml"/>
  <Override PartName="/xl/drawings/drawing8.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drawings/drawing3.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worksheets/sheet18.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5.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3.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munozbl\Desktop\"/>
    </mc:Choice>
  </mc:AlternateContent>
  <workbookProtection workbookPassword="941B" lockStructure="1"/>
  <bookViews>
    <workbookView xWindow="0" yWindow="0" windowWidth="21600" windowHeight="9135" tabRatio="929" activeTab="9"/>
  </bookViews>
  <sheets>
    <sheet name="Instructivo" sheetId="29" r:id="rId1"/>
    <sheet name="Cálculo % Fijo de Ret.Fte." sheetId="6" r:id="rId2"/>
    <sheet name="Ret.Fte.Sistema IMAN" sheetId="20" state="hidden" r:id="rId3"/>
    <sheet name="Cálculo de la Ret.Fte. del Mes" sheetId="22" state="hidden" r:id="rId4"/>
    <sheet name="Ret.Fte.Mes (Procedimiento 2)" sheetId="27" r:id="rId5"/>
    <sheet name="APPensiones" sheetId="12" state="hidden" r:id="rId6"/>
    <sheet name="Ret.Fte.Mes (Procedimiento 1)" sheetId="28" r:id="rId7"/>
    <sheet name="RF Ordinaria" sheetId="15" state="hidden" r:id="rId8"/>
    <sheet name="Datos" sheetId="26" state="hidden" r:id="rId9"/>
    <sheet name="Declaración de Renta" sheetId="24" r:id="rId10"/>
    <sheet name="Cálculo Cesantías Exentas" sheetId="25" state="hidden" r:id="rId11"/>
    <sheet name="VARIABLES" sheetId="21" state="hidden" r:id="rId12"/>
    <sheet name="Impuesto de Renta" sheetId="18" state="hidden" r:id="rId13"/>
    <sheet name="Impto ROrdinario" sheetId="17" state="hidden" r:id="rId14"/>
    <sheet name="IMAN" sheetId="13" state="hidden" r:id="rId15"/>
    <sheet name="IMAS" sheetId="19" state="hidden" r:id="rId16"/>
    <sheet name="RF IMAN" sheetId="14" state="hidden" r:id="rId17"/>
    <sheet name="12" sheetId="1" state="hidden" r:id="rId18"/>
    <sheet name="16" sheetId="11" state="hidden" r:id="rId19"/>
    <sheet name="20" sheetId="9" state="hidden" r:id="rId20"/>
    <sheet name="30" sheetId="10" state="hidden" r:id="rId21"/>
  </sheets>
  <definedNames>
    <definedName name="_​0.522">Datos!$B$2:$B$6</definedName>
    <definedName name="_xlnm.Print_Area" localSheetId="1">'Cálculo % Fijo de Ret.Fte.'!$A$1:$G$91</definedName>
    <definedName name="_xlnm.Print_Area" localSheetId="10">'Cálculo Cesantías Exentas'!$A$1:$G$41</definedName>
    <definedName name="_xlnm.Print_Area" localSheetId="9">'Declaración de Renta'!$A$1:$G$90</definedName>
    <definedName name="_xlnm.Print_Area" localSheetId="0">Instructivo!$A$1:$G$282</definedName>
    <definedName name="_xlnm.Print_Area" localSheetId="6">'Ret.Fte.Mes (Procedimiento 1)'!$A$1:$G$94</definedName>
    <definedName name="_xlnm.Print_Area" localSheetId="4">'Ret.Fte.Mes (Procedimiento 2)'!$A$1:$G$94</definedName>
    <definedName name="ARL" localSheetId="8">Datos!$B$2:$B$6</definedName>
    <definedName name="ARL">VARIABLES!$B$17:$B$21</definedName>
    <definedName name="MES">VARIABLES!$B$2:$B$13</definedName>
    <definedName name="OLE_LINK1" localSheetId="9">'Declaración de Renta'!$C$93</definedName>
    <definedName name="OLE_LINK3" localSheetId="1">'Cálculo % Fijo de Ret.Fte.'!$C$106</definedName>
    <definedName name="OLE_LINK5" localSheetId="1">'Cálculo % Fijo de Ret.Fte.'!$C$2</definedName>
    <definedName name="OLE_LINK8" localSheetId="9">'Declaración de Renta'!$C$2</definedName>
    <definedName name="solver_adj" localSheetId="6" hidden="1">'Ret.Fte.Mes (Procedimiento 1)'!$G$80</definedName>
    <definedName name="solver_adj" localSheetId="4" hidden="1">'Ret.Fte.Mes (Procedimiento 2)'!$G$80</definedName>
    <definedName name="solver_cvg" localSheetId="6" hidden="1">0.0001</definedName>
    <definedName name="solver_cvg" localSheetId="4" hidden="1">0.0001</definedName>
    <definedName name="solver_drv" localSheetId="6" hidden="1">1</definedName>
    <definedName name="solver_drv" localSheetId="4" hidden="1">1</definedName>
    <definedName name="solver_eng" localSheetId="6" hidden="1">1</definedName>
    <definedName name="solver_eng" localSheetId="4" hidden="1">1</definedName>
    <definedName name="solver_est" localSheetId="6" hidden="1">1</definedName>
    <definedName name="solver_est" localSheetId="4" hidden="1">1</definedName>
    <definedName name="solver_itr" localSheetId="6" hidden="1">2147483647</definedName>
    <definedName name="solver_itr" localSheetId="4" hidden="1">2147483647</definedName>
    <definedName name="solver_lhs1" localSheetId="6" hidden="1">'Ret.Fte.Mes (Procedimiento 1)'!$U$84</definedName>
    <definedName name="solver_lhs1" localSheetId="4" hidden="1">'Ret.Fte.Mes (Procedimiento 2)'!$U$84</definedName>
    <definedName name="solver_mip" localSheetId="6" hidden="1">2147483647</definedName>
    <definedName name="solver_mip" localSheetId="4" hidden="1">2147483647</definedName>
    <definedName name="solver_mni" localSheetId="6" hidden="1">30</definedName>
    <definedName name="solver_mni" localSheetId="4" hidden="1">30</definedName>
    <definedName name="solver_mrt" localSheetId="6" hidden="1">0.075</definedName>
    <definedName name="solver_mrt" localSheetId="4" hidden="1">0.075</definedName>
    <definedName name="solver_msl" localSheetId="6" hidden="1">2</definedName>
    <definedName name="solver_msl" localSheetId="4" hidden="1">2</definedName>
    <definedName name="solver_neg" localSheetId="6" hidden="1">1</definedName>
    <definedName name="solver_neg" localSheetId="4" hidden="1">1</definedName>
    <definedName name="solver_nod" localSheetId="6" hidden="1">2147483647</definedName>
    <definedName name="solver_nod" localSheetId="4" hidden="1">2147483647</definedName>
    <definedName name="solver_num" localSheetId="6" hidden="1">1</definedName>
    <definedName name="solver_num" localSheetId="4" hidden="1">1</definedName>
    <definedName name="solver_nwt" localSheetId="6" hidden="1">1</definedName>
    <definedName name="solver_nwt" localSheetId="4" hidden="1">1</definedName>
    <definedName name="solver_opt" localSheetId="6" hidden="1">'Ret.Fte.Mes (Procedimiento 1)'!$U$84</definedName>
    <definedName name="solver_opt" localSheetId="4" hidden="1">'Ret.Fte.Mes (Procedimiento 2)'!$U$84</definedName>
    <definedName name="solver_pre" localSheetId="6" hidden="1">0.000001</definedName>
    <definedName name="solver_pre" localSheetId="4" hidden="1">0.000001</definedName>
    <definedName name="solver_rbv" localSheetId="6" hidden="1">1</definedName>
    <definedName name="solver_rbv" localSheetId="4" hidden="1">1</definedName>
    <definedName name="solver_rel1" localSheetId="6" hidden="1">2</definedName>
    <definedName name="solver_rel1" localSheetId="4" hidden="1">2</definedName>
    <definedName name="solver_rhs1" localSheetId="6" hidden="1">0</definedName>
    <definedName name="solver_rhs1" localSheetId="4" hidden="1">0</definedName>
    <definedName name="solver_rlx" localSheetId="6" hidden="1">2</definedName>
    <definedName name="solver_rlx" localSheetId="4" hidden="1">2</definedName>
    <definedName name="solver_rsd" localSheetId="6" hidden="1">0</definedName>
    <definedName name="solver_rsd" localSheetId="4" hidden="1">0</definedName>
    <definedName name="solver_scl" localSheetId="6" hidden="1">1</definedName>
    <definedName name="solver_scl" localSheetId="4" hidden="1">1</definedName>
    <definedName name="solver_sho" localSheetId="6" hidden="1">2</definedName>
    <definedName name="solver_sho" localSheetId="4" hidden="1">2</definedName>
    <definedName name="solver_ssz" localSheetId="6" hidden="1">100</definedName>
    <definedName name="solver_ssz" localSheetId="4" hidden="1">100</definedName>
    <definedName name="solver_tim" localSheetId="6" hidden="1">2147483647</definedName>
    <definedName name="solver_tim" localSheetId="4" hidden="1">2147483647</definedName>
    <definedName name="solver_tol" localSheetId="6" hidden="1">0.01</definedName>
    <definedName name="solver_tol" localSheetId="4" hidden="1">0.01</definedName>
    <definedName name="solver_typ" localSheetId="6" hidden="1">3</definedName>
    <definedName name="solver_typ" localSheetId="4" hidden="1">3</definedName>
    <definedName name="solver_val" localSheetId="6" hidden="1">0</definedName>
    <definedName name="solver_val" localSheetId="4" hidden="1">0</definedName>
    <definedName name="solver_ver" localSheetId="6" hidden="1">3</definedName>
    <definedName name="solver_ver" localSheetId="4" hidden="1">3</definedName>
  </definedNames>
  <calcPr calcId="152511"/>
  <fileRecoveryPr autoRecover="0"/>
</workbook>
</file>

<file path=xl/calcChain.xml><?xml version="1.0" encoding="utf-8"?>
<calcChain xmlns="http://schemas.openxmlformats.org/spreadsheetml/2006/main">
  <c r="L33" i="12" l="1"/>
  <c r="D40" i="12"/>
  <c r="C37" i="12"/>
  <c r="D32" i="12"/>
  <c r="D35" i="12" s="1"/>
  <c r="G36" i="12"/>
  <c r="G37" i="12" s="1"/>
  <c r="G35" i="12"/>
  <c r="H35" i="12" s="1"/>
  <c r="L18" i="12"/>
  <c r="L19" i="12" s="1"/>
  <c r="D17" i="12"/>
  <c r="C24" i="12" s="1"/>
  <c r="G21" i="12"/>
  <c r="H21" i="12" s="1"/>
  <c r="H22" i="12" s="1"/>
  <c r="H23" i="12" s="1"/>
  <c r="H24" i="12" s="1"/>
  <c r="H25" i="12" s="1"/>
  <c r="H26" i="12" s="1"/>
  <c r="G20" i="12"/>
  <c r="H20" i="12" s="1"/>
  <c r="H36" i="12" l="1"/>
  <c r="H37" i="12" s="1"/>
  <c r="H38" i="12" s="1"/>
  <c r="H39" i="12" s="1"/>
  <c r="H40" i="12" s="1"/>
  <c r="H41" i="12" s="1"/>
  <c r="L34" i="12"/>
  <c r="M36" i="12" s="1"/>
  <c r="C36" i="12"/>
  <c r="G38" i="12"/>
  <c r="F37" i="12"/>
  <c r="C38" i="12"/>
  <c r="C39" i="12"/>
  <c r="C40" i="12"/>
  <c r="C41" i="12"/>
  <c r="D39" i="12"/>
  <c r="D37" i="12"/>
  <c r="D38" i="12"/>
  <c r="D36" i="12"/>
  <c r="D23" i="12"/>
  <c r="N23" i="12" s="1"/>
  <c r="D25" i="12"/>
  <c r="N25" i="12" s="1"/>
  <c r="D24" i="12"/>
  <c r="N24" i="12" s="1"/>
  <c r="C25" i="12"/>
  <c r="M25" i="12" s="1"/>
  <c r="C21" i="12"/>
  <c r="M21" i="12" s="1"/>
  <c r="M24" i="12"/>
  <c r="C26" i="12"/>
  <c r="M26" i="12" s="1"/>
  <c r="D20" i="12"/>
  <c r="N20" i="12" s="1"/>
  <c r="C22" i="12"/>
  <c r="M22" i="12" s="1"/>
  <c r="D21" i="12"/>
  <c r="N21" i="12" s="1"/>
  <c r="C23" i="12"/>
  <c r="M23" i="12" s="1"/>
  <c r="D22" i="12"/>
  <c r="N22" i="12" s="1"/>
  <c r="N26" i="12"/>
  <c r="M20" i="12"/>
  <c r="G22" i="12"/>
  <c r="N38" i="12" l="1"/>
  <c r="J34" i="12"/>
  <c r="M37" i="12"/>
  <c r="M40" i="12"/>
  <c r="M39" i="12"/>
  <c r="M38" i="12"/>
  <c r="N40" i="12"/>
  <c r="N39" i="12"/>
  <c r="M41" i="12"/>
  <c r="N37" i="12"/>
  <c r="N36" i="12"/>
  <c r="B36" i="12" s="1"/>
  <c r="M35" i="12"/>
  <c r="N41" i="12"/>
  <c r="N35" i="12"/>
  <c r="G39" i="12"/>
  <c r="F38" i="12"/>
  <c r="B21" i="12"/>
  <c r="B26" i="12"/>
  <c r="G23" i="12"/>
  <c r="F22" i="12"/>
  <c r="O53" i="6"/>
  <c r="G33" i="26"/>
  <c r="H33" i="26" s="1"/>
  <c r="N53" i="6"/>
  <c r="B37" i="12" l="1"/>
  <c r="B40" i="12"/>
  <c r="B39" i="12"/>
  <c r="B41" i="12"/>
  <c r="B35" i="12"/>
  <c r="J33" i="12" s="1"/>
  <c r="F64" i="28" s="1"/>
  <c r="B38" i="12"/>
  <c r="G40" i="12"/>
  <c r="F39" i="12"/>
  <c r="G24" i="12"/>
  <c r="F23" i="12"/>
  <c r="G75" i="6"/>
  <c r="G76" i="6"/>
  <c r="F40" i="12" l="1"/>
  <c r="G41" i="12"/>
  <c r="F41" i="12" s="1"/>
  <c r="G25" i="12"/>
  <c r="F24" i="12"/>
  <c r="G28" i="6"/>
  <c r="B24" i="27"/>
  <c r="B24" i="28" s="1"/>
  <c r="G27" i="24"/>
  <c r="G26" i="12" l="1"/>
  <c r="F26" i="12" s="1"/>
  <c r="F25" i="12"/>
  <c r="G62" i="6"/>
  <c r="G21" i="25"/>
  <c r="B21" i="28"/>
  <c r="B21" i="27"/>
  <c r="G16" i="24"/>
  <c r="G36" i="26" s="1"/>
  <c r="H36" i="26" s="1"/>
  <c r="G60" i="24" s="1"/>
  <c r="G15" i="24"/>
  <c r="G17" i="28"/>
  <c r="G35" i="26" s="1"/>
  <c r="H35" i="26" s="1"/>
  <c r="G16" i="28"/>
  <c r="G17" i="27"/>
  <c r="G34" i="26" s="1"/>
  <c r="H34" i="26" s="1"/>
  <c r="G16" i="27"/>
  <c r="G62" i="27" l="1"/>
  <c r="G76" i="28"/>
  <c r="G75" i="28"/>
  <c r="G62" i="28"/>
  <c r="G74" i="24"/>
  <c r="G73" i="24"/>
  <c r="F36" i="25"/>
  <c r="B49" i="24"/>
  <c r="F46" i="24"/>
  <c r="G59" i="24" s="1"/>
  <c r="G52" i="28"/>
  <c r="G53" i="28"/>
  <c r="G54" i="28"/>
  <c r="G51" i="28"/>
  <c r="G52" i="6"/>
  <c r="G53" i="6"/>
  <c r="G54" i="6"/>
  <c r="G51" i="6"/>
  <c r="G29" i="26" l="1"/>
  <c r="G28" i="26"/>
  <c r="G27" i="26"/>
  <c r="G26" i="26"/>
  <c r="H25" i="26"/>
  <c r="H27" i="26" s="1"/>
  <c r="H28" i="26" l="1"/>
  <c r="H29" i="26"/>
  <c r="H26" i="26"/>
  <c r="B48" i="24"/>
  <c r="B46" i="24"/>
  <c r="B32" i="24"/>
  <c r="B33" i="24" s="1"/>
  <c r="B34" i="24" s="1"/>
  <c r="B35" i="24" s="1"/>
  <c r="B36" i="24" s="1"/>
  <c r="B37" i="24" s="1"/>
  <c r="B38" i="24" s="1"/>
  <c r="B39" i="24" s="1"/>
  <c r="B40" i="24" s="1"/>
  <c r="B41" i="24" s="1"/>
  <c r="B42" i="24" s="1"/>
  <c r="B43" i="24" s="1"/>
  <c r="B44" i="24" s="1"/>
  <c r="B45" i="24" s="1"/>
  <c r="B31" i="24"/>
  <c r="B79" i="27"/>
  <c r="B58" i="27"/>
  <c r="B32" i="27"/>
  <c r="B33" i="27" s="1"/>
  <c r="B34" i="27" s="1"/>
  <c r="B35" i="27" s="1"/>
  <c r="B36" i="27" s="1"/>
  <c r="B37" i="27" s="1"/>
  <c r="B38" i="27" s="1"/>
  <c r="B39" i="27" s="1"/>
  <c r="B40" i="27" s="1"/>
  <c r="B41" i="27" s="1"/>
  <c r="B42" i="27" s="1"/>
  <c r="B43" i="27" s="1"/>
  <c r="B44" i="27" s="1"/>
  <c r="B45" i="27" s="1"/>
  <c r="B46" i="27" s="1"/>
  <c r="B47" i="27" s="1"/>
  <c r="B48" i="27" s="1"/>
  <c r="B49" i="27" s="1"/>
  <c r="B50" i="27" s="1"/>
  <c r="B51" i="27" s="1"/>
  <c r="B52" i="27" s="1"/>
  <c r="B53" i="27" s="1"/>
  <c r="B54" i="27" s="1"/>
  <c r="B23" i="24"/>
  <c r="A16" i="25" s="1"/>
  <c r="B79" i="28"/>
  <c r="B58" i="28"/>
  <c r="B32" i="28"/>
  <c r="B33" i="28" s="1"/>
  <c r="B34" i="28" s="1"/>
  <c r="B35" i="28" s="1"/>
  <c r="B36" i="28" s="1"/>
  <c r="B37" i="28" s="1"/>
  <c r="B38" i="28" s="1"/>
  <c r="B39" i="28" s="1"/>
  <c r="B40" i="28" s="1"/>
  <c r="B41" i="28" s="1"/>
  <c r="B42" i="28" s="1"/>
  <c r="B43" i="28" s="1"/>
  <c r="B44" i="28" s="1"/>
  <c r="B45" i="28" s="1"/>
  <c r="B46" i="28" s="1"/>
  <c r="B47" i="28" s="1"/>
  <c r="B48" i="28" s="1"/>
  <c r="B49" i="28" s="1"/>
  <c r="B50" i="28" s="1"/>
  <c r="B51" i="28" s="1"/>
  <c r="B52" i="28" s="1"/>
  <c r="B53" i="28" s="1"/>
  <c r="B54" i="28" s="1"/>
  <c r="B32" i="6"/>
  <c r="B33" i="6" s="1"/>
  <c r="B34" i="6" s="1"/>
  <c r="B35" i="6" s="1"/>
  <c r="B36" i="6" s="1"/>
  <c r="B37" i="6" s="1"/>
  <c r="B38" i="6" s="1"/>
  <c r="B39" i="6" s="1"/>
  <c r="B40" i="6" s="1"/>
  <c r="B41" i="6" s="1"/>
  <c r="B42" i="6" s="1"/>
  <c r="B43" i="6" s="1"/>
  <c r="B44" i="6" s="1"/>
  <c r="B45" i="6" s="1"/>
  <c r="B46" i="6" s="1"/>
  <c r="B47" i="6" s="1"/>
  <c r="B48" i="6" s="1"/>
  <c r="B49" i="6" s="1"/>
  <c r="B50" i="6" s="1"/>
  <c r="B51" i="6" s="1"/>
  <c r="B52" i="6" s="1"/>
  <c r="B53" i="6" s="1"/>
  <c r="B54" i="6" s="1"/>
  <c r="B47" i="24" l="1"/>
  <c r="B50" i="24" s="1"/>
  <c r="B51" i="24" s="1"/>
  <c r="B52" i="24" s="1"/>
  <c r="B59" i="27"/>
  <c r="B61" i="27" s="1"/>
  <c r="B62" i="27" s="1"/>
  <c r="B63" i="27" s="1"/>
  <c r="B64" i="27" s="1"/>
  <c r="B55" i="27"/>
  <c r="B56" i="27" s="1"/>
  <c r="B59" i="28"/>
  <c r="B61" i="28" s="1"/>
  <c r="B62" i="28" s="1"/>
  <c r="B63" i="28" s="1"/>
  <c r="B64" i="28" s="1"/>
  <c r="B55" i="28"/>
  <c r="B56" i="28" s="1"/>
  <c r="B55" i="6"/>
  <c r="B56" i="6" s="1"/>
  <c r="B58" i="6" s="1"/>
  <c r="B59" i="6"/>
  <c r="B65" i="28" l="1"/>
  <c r="B67" i="28" s="1"/>
  <c r="B68" i="28" s="1"/>
  <c r="B70" i="28" s="1"/>
  <c r="B71" i="28" s="1"/>
  <c r="B66" i="28"/>
  <c r="B69" i="28" s="1"/>
  <c r="B73" i="28" s="1"/>
  <c r="B75" i="28" s="1"/>
  <c r="B76" i="28" s="1"/>
  <c r="B77" i="28" s="1"/>
  <c r="B80" i="28" s="1"/>
  <c r="B81" i="28" s="1"/>
  <c r="B82" i="28" s="1"/>
  <c r="B83" i="28" s="1"/>
  <c r="B84" i="28" s="1"/>
  <c r="B85" i="28" s="1"/>
  <c r="B86" i="28" s="1"/>
  <c r="B87" i="28" s="1"/>
  <c r="B88" i="28" s="1"/>
  <c r="B65" i="27"/>
  <c r="B66" i="27"/>
  <c r="B69" i="27" s="1"/>
  <c r="B73" i="27" s="1"/>
  <c r="B75" i="27" s="1"/>
  <c r="B76" i="27" s="1"/>
  <c r="B77" i="27" s="1"/>
  <c r="B80" i="27" s="1"/>
  <c r="B81" i="27" s="1"/>
  <c r="B82" i="27" s="1"/>
  <c r="B83" i="27" s="1"/>
  <c r="B84" i="27" s="1"/>
  <c r="B85" i="27" s="1"/>
  <c r="B86" i="27" s="1"/>
  <c r="B87" i="27" s="1"/>
  <c r="B88" i="27" s="1"/>
  <c r="B53" i="24"/>
  <c r="B57" i="24"/>
  <c r="B59" i="24" s="1"/>
  <c r="B60" i="24" s="1"/>
  <c r="B61" i="6"/>
  <c r="B62" i="6" s="1"/>
  <c r="B63" i="6" s="1"/>
  <c r="B64" i="6" s="1"/>
  <c r="B65" i="6" s="1"/>
  <c r="B66" i="6" s="1"/>
  <c r="B67" i="6" s="1"/>
  <c r="B68" i="6" s="1"/>
  <c r="B69" i="6" s="1"/>
  <c r="B70" i="6" s="1"/>
  <c r="B89" i="28" l="1"/>
  <c r="B90" i="28" s="1"/>
  <c r="B91" i="28"/>
  <c r="B89" i="27"/>
  <c r="B90" i="27" s="1"/>
  <c r="B91" i="27"/>
  <c r="B67" i="27"/>
  <c r="B68" i="27" s="1"/>
  <c r="B70" i="27" s="1"/>
  <c r="B71" i="27" s="1"/>
  <c r="B61" i="24"/>
  <c r="B62" i="24" s="1"/>
  <c r="B54" i="24"/>
  <c r="B71" i="6"/>
  <c r="B76" i="6" s="1"/>
  <c r="B77" i="6" s="1"/>
  <c r="B73" i="6"/>
  <c r="B75" i="6" s="1"/>
  <c r="B92" i="28" l="1"/>
  <c r="B93" i="28" s="1"/>
  <c r="B94" i="28" s="1"/>
  <c r="B92" i="27"/>
  <c r="B93" i="27" s="1"/>
  <c r="B94" i="27" s="1"/>
  <c r="B63" i="24"/>
  <c r="B65" i="24" s="1"/>
  <c r="B64" i="24"/>
  <c r="B67" i="24" s="1"/>
  <c r="B71" i="24" s="1"/>
  <c r="B73" i="24" s="1"/>
  <c r="B74" i="24" s="1"/>
  <c r="B75" i="24" s="1"/>
  <c r="B79" i="6"/>
  <c r="B80" i="6"/>
  <c r="B78" i="24" l="1"/>
  <c r="B79" i="24" s="1"/>
  <c r="B80" i="24" s="1"/>
  <c r="B81" i="24" s="1"/>
  <c r="B82" i="24" s="1"/>
  <c r="B83" i="24" s="1"/>
  <c r="B84" i="24" s="1"/>
  <c r="B85" i="24" s="1"/>
  <c r="B86" i="24" s="1"/>
  <c r="B87" i="24" s="1"/>
  <c r="B88" i="24" s="1"/>
  <c r="B89" i="24" s="1"/>
  <c r="B90" i="24" s="1"/>
  <c r="B68" i="24"/>
  <c r="B69" i="24" s="1"/>
  <c r="B66" i="24"/>
  <c r="B81" i="6"/>
  <c r="B82" i="6" s="1"/>
  <c r="B83" i="6" s="1"/>
  <c r="B84" i="6" s="1"/>
  <c r="B85" i="6" s="1"/>
  <c r="B86" i="6" s="1"/>
  <c r="B87" i="6" s="1"/>
  <c r="B88" i="6" s="1"/>
  <c r="B89" i="6" s="1"/>
  <c r="B90" i="6" s="1"/>
  <c r="B91" i="6" s="1"/>
  <c r="F48" i="24"/>
  <c r="F33" i="24"/>
  <c r="F34" i="24"/>
  <c r="F35" i="24"/>
  <c r="F36" i="24"/>
  <c r="F37" i="24"/>
  <c r="F38" i="24"/>
  <c r="F39" i="24"/>
  <c r="M92" i="28"/>
  <c r="L92" i="28"/>
  <c r="K92" i="28"/>
  <c r="J92" i="28"/>
  <c r="C14" i="15"/>
  <c r="C13" i="15"/>
  <c r="C12" i="15"/>
  <c r="C32" i="15"/>
  <c r="C33" i="15"/>
  <c r="C34" i="15"/>
  <c r="F77" i="27"/>
  <c r="M76" i="28"/>
  <c r="M75" i="28"/>
  <c r="M68" i="28"/>
  <c r="E68" i="28"/>
  <c r="K68" i="28" s="1"/>
  <c r="M67" i="28"/>
  <c r="K67" i="28"/>
  <c r="G67" i="28"/>
  <c r="E67" i="28"/>
  <c r="M66" i="28"/>
  <c r="E66" i="28"/>
  <c r="K66" i="28" s="1"/>
  <c r="N65" i="28"/>
  <c r="N64" i="28"/>
  <c r="M63" i="28"/>
  <c r="E63" i="28"/>
  <c r="K63" i="28" s="1"/>
  <c r="N55" i="28"/>
  <c r="C55" i="28" s="1"/>
  <c r="N53" i="28"/>
  <c r="G47" i="28"/>
  <c r="G46" i="28"/>
  <c r="G45" i="28"/>
  <c r="D45" i="28"/>
  <c r="D46" i="28" s="1"/>
  <c r="D47" i="28" s="1"/>
  <c r="D48" i="28" s="1"/>
  <c r="D50" i="28" s="1"/>
  <c r="F44" i="28"/>
  <c r="M59" i="28" s="1"/>
  <c r="F43" i="28"/>
  <c r="F48" i="28" s="1"/>
  <c r="G61" i="28" s="1"/>
  <c r="G41" i="28"/>
  <c r="G39" i="28"/>
  <c r="G37" i="28"/>
  <c r="G36" i="28"/>
  <c r="G35" i="28"/>
  <c r="G34" i="28"/>
  <c r="G33" i="28"/>
  <c r="G28" i="28"/>
  <c r="F28" i="28"/>
  <c r="G24" i="28"/>
  <c r="G21" i="28"/>
  <c r="M93" i="27"/>
  <c r="L93" i="27"/>
  <c r="M76" i="27"/>
  <c r="M68" i="27"/>
  <c r="E68" i="27"/>
  <c r="K68" i="27" s="1"/>
  <c r="M67" i="27"/>
  <c r="K67" i="27"/>
  <c r="G67" i="27"/>
  <c r="E67" i="27"/>
  <c r="M66" i="27"/>
  <c r="E66" i="27"/>
  <c r="K66" i="27" s="1"/>
  <c r="N65" i="27"/>
  <c r="N64" i="27"/>
  <c r="M63" i="27"/>
  <c r="E63" i="27"/>
  <c r="K63" i="27" s="1"/>
  <c r="N55" i="27"/>
  <c r="C55" i="27" s="1"/>
  <c r="N53" i="27"/>
  <c r="G47" i="27"/>
  <c r="G46" i="27"/>
  <c r="G45" i="27"/>
  <c r="D45" i="27"/>
  <c r="D46" i="27" s="1"/>
  <c r="D47" i="27" s="1"/>
  <c r="D48" i="27" s="1"/>
  <c r="D50" i="27" s="1"/>
  <c r="F44" i="27"/>
  <c r="F43" i="27"/>
  <c r="F48" i="27" s="1"/>
  <c r="G61" i="27" s="1"/>
  <c r="G41" i="27"/>
  <c r="G39" i="27"/>
  <c r="G38" i="27"/>
  <c r="G37" i="27"/>
  <c r="G36" i="27"/>
  <c r="G35" i="27"/>
  <c r="G34" i="27"/>
  <c r="G33" i="27"/>
  <c r="G28" i="27"/>
  <c r="F28" i="27" s="1"/>
  <c r="G24" i="27"/>
  <c r="G21" i="27"/>
  <c r="M62" i="28" l="1"/>
  <c r="G50" i="24"/>
  <c r="G51" i="24"/>
  <c r="G52" i="24"/>
  <c r="G48" i="24"/>
  <c r="G49" i="24"/>
  <c r="O55" i="28"/>
  <c r="C56" i="28" s="1"/>
  <c r="E61" i="28"/>
  <c r="G31" i="27"/>
  <c r="E59" i="27"/>
  <c r="O55" i="27"/>
  <c r="C56" i="27" s="1"/>
  <c r="G59" i="27"/>
  <c r="G42" i="27"/>
  <c r="E62" i="28"/>
  <c r="K62" i="28"/>
  <c r="G31" i="28"/>
  <c r="G59" i="28"/>
  <c r="M80" i="28"/>
  <c r="M77" i="28"/>
  <c r="G38" i="28"/>
  <c r="G32" i="28"/>
  <c r="G40" i="28"/>
  <c r="E59" i="28"/>
  <c r="K61" i="28"/>
  <c r="G42" i="28"/>
  <c r="O53" i="28"/>
  <c r="M61" i="28"/>
  <c r="N54" i="28"/>
  <c r="N52" i="28" s="1"/>
  <c r="K61" i="27"/>
  <c r="K62" i="27"/>
  <c r="E61" i="27"/>
  <c r="M62" i="27"/>
  <c r="G32" i="27"/>
  <c r="G40" i="27"/>
  <c r="N54" i="27"/>
  <c r="N52" i="27" s="1"/>
  <c r="M59" i="27"/>
  <c r="M80" i="27" s="1"/>
  <c r="E62" i="27"/>
  <c r="O53" i="27"/>
  <c r="M61" i="27"/>
  <c r="K20" i="26"/>
  <c r="F20" i="26"/>
  <c r="E20" i="26"/>
  <c r="K19" i="26"/>
  <c r="F19" i="26"/>
  <c r="E19" i="26"/>
  <c r="K18" i="26"/>
  <c r="F18" i="26"/>
  <c r="E18" i="26"/>
  <c r="K17" i="26"/>
  <c r="F17" i="26"/>
  <c r="E17" i="26"/>
  <c r="K16" i="26"/>
  <c r="F16" i="26"/>
  <c r="E16" i="26"/>
  <c r="K15" i="26"/>
  <c r="F15" i="26"/>
  <c r="E15" i="26"/>
  <c r="K14" i="26"/>
  <c r="F14" i="26"/>
  <c r="E14" i="26"/>
  <c r="G65" i="24"/>
  <c r="N51" i="24"/>
  <c r="G80" i="27" l="1"/>
  <c r="U80" i="27"/>
  <c r="U80" i="28"/>
  <c r="G80" i="28"/>
  <c r="G77" i="28"/>
  <c r="G19" i="26"/>
  <c r="G15" i="26"/>
  <c r="G14" i="26"/>
  <c r="G20" i="26"/>
  <c r="N59" i="27"/>
  <c r="O59" i="27" s="1"/>
  <c r="O64" i="27" s="1"/>
  <c r="O65" i="27" s="1"/>
  <c r="G17" i="26"/>
  <c r="G44" i="28"/>
  <c r="K59" i="27"/>
  <c r="G48" i="28"/>
  <c r="P92" i="28"/>
  <c r="O92" i="28"/>
  <c r="N59" i="28"/>
  <c r="O59" i="28" s="1"/>
  <c r="K59" i="28"/>
  <c r="G44" i="27"/>
  <c r="G48" i="27"/>
  <c r="M77" i="27"/>
  <c r="G18" i="26"/>
  <c r="G16" i="26"/>
  <c r="O64" i="28" l="1"/>
  <c r="O65" i="28" s="1"/>
  <c r="F73" i="24"/>
  <c r="G33" i="24" l="1"/>
  <c r="G35" i="24"/>
  <c r="G36" i="24"/>
  <c r="G38" i="24"/>
  <c r="G37" i="25"/>
  <c r="M89" i="24"/>
  <c r="L89" i="24"/>
  <c r="M74" i="24"/>
  <c r="M73" i="24"/>
  <c r="M66" i="24"/>
  <c r="M65" i="24" s="1"/>
  <c r="E66" i="24"/>
  <c r="K66" i="24" s="1"/>
  <c r="K65" i="24"/>
  <c r="E65" i="24"/>
  <c r="M64" i="24"/>
  <c r="E64" i="24"/>
  <c r="K64" i="24" s="1"/>
  <c r="N63" i="24"/>
  <c r="N62" i="24"/>
  <c r="M61" i="24"/>
  <c r="M60" i="24" s="1"/>
  <c r="E61" i="24"/>
  <c r="K61" i="24" s="1"/>
  <c r="K60" i="24" s="1"/>
  <c r="N53" i="24"/>
  <c r="C53" i="24" s="1"/>
  <c r="O51" i="24"/>
  <c r="G45" i="24"/>
  <c r="G44" i="24"/>
  <c r="F27" i="24"/>
  <c r="G23" i="24"/>
  <c r="G20" i="24"/>
  <c r="C20" i="24"/>
  <c r="F42" i="24" l="1"/>
  <c r="G40" i="24" s="1"/>
  <c r="G34" i="24"/>
  <c r="E60" i="24"/>
  <c r="M59" i="24" l="1"/>
  <c r="G32" i="24"/>
  <c r="G57" i="24"/>
  <c r="G43" i="24"/>
  <c r="G32" i="25"/>
  <c r="G39" i="24"/>
  <c r="G37" i="24"/>
  <c r="G31" i="24"/>
  <c r="O53" i="24"/>
  <c r="C54" i="24" s="1"/>
  <c r="G41" i="24"/>
  <c r="K59" i="24"/>
  <c r="M57" i="24"/>
  <c r="M78" i="24" s="1"/>
  <c r="G30" i="24"/>
  <c r="N52" i="24"/>
  <c r="N50" i="24" s="1"/>
  <c r="E57" i="24"/>
  <c r="E59" i="24"/>
  <c r="G75" i="24" l="1"/>
  <c r="G78" i="24"/>
  <c r="K57" i="24"/>
  <c r="N57" i="24"/>
  <c r="O57" i="24" s="1"/>
  <c r="O62" i="24" s="1"/>
  <c r="O63" i="24" s="1"/>
  <c r="D11" i="26"/>
  <c r="D12" i="26" s="1"/>
  <c r="G46" i="24"/>
  <c r="G42" i="24"/>
  <c r="M75" i="24"/>
  <c r="A12" i="26" l="1"/>
  <c r="B11" i="26"/>
  <c r="A11" i="26"/>
  <c r="B12" i="26"/>
  <c r="E55" i="22"/>
  <c r="C55" i="22" s="1"/>
  <c r="J76" i="22"/>
  <c r="C76" i="22"/>
  <c r="K76" i="22" s="1"/>
  <c r="K69" i="22"/>
  <c r="K68" i="22"/>
  <c r="E68" i="22"/>
  <c r="C67" i="22"/>
  <c r="L58" i="22"/>
  <c r="K57" i="22"/>
  <c r="C57" i="22"/>
  <c r="I57" i="22" s="1"/>
  <c r="K56" i="22"/>
  <c r="I56" i="22"/>
  <c r="E56" i="22"/>
  <c r="C56" i="22"/>
  <c r="L54" i="22"/>
  <c r="L53" i="22"/>
  <c r="L47" i="22"/>
  <c r="A47" i="22" s="1"/>
  <c r="E69" i="22"/>
  <c r="B46" i="22"/>
  <c r="L45" i="22"/>
  <c r="M45" i="22" s="1"/>
  <c r="E39" i="22"/>
  <c r="E38" i="22"/>
  <c r="E37" i="22"/>
  <c r="B37" i="22"/>
  <c r="B38" i="22" s="1"/>
  <c r="B39" i="22" s="1"/>
  <c r="B40" i="22" s="1"/>
  <c r="B42" i="22" s="1"/>
  <c r="D36" i="22"/>
  <c r="L46" i="22" s="1"/>
  <c r="L44" i="22" s="1"/>
  <c r="E29" i="22"/>
  <c r="D35" i="22"/>
  <c r="D40" i="22" s="1"/>
  <c r="E32" i="22"/>
  <c r="E31" i="22"/>
  <c r="E28" i="22"/>
  <c r="E27" i="22"/>
  <c r="E26" i="22"/>
  <c r="E25" i="22"/>
  <c r="E24" i="22"/>
  <c r="E20" i="22"/>
  <c r="D20" i="22" s="1"/>
  <c r="E33" i="22"/>
  <c r="C66" i="22"/>
  <c r="I67" i="22"/>
  <c r="I66" i="22" s="1"/>
  <c r="E54" i="22"/>
  <c r="K67" i="22"/>
  <c r="K66" i="22" s="1"/>
  <c r="E30" i="22"/>
  <c r="E66" i="22"/>
  <c r="F54" i="27"/>
  <c r="N14" i="18"/>
  <c r="F43" i="6"/>
  <c r="N55" i="6"/>
  <c r="C55" i="6" s="1"/>
  <c r="N64" i="6"/>
  <c r="N65" i="6"/>
  <c r="K67" i="6"/>
  <c r="M68" i="6"/>
  <c r="M67" i="6" s="1"/>
  <c r="M63" i="6"/>
  <c r="M62" i="6" s="1"/>
  <c r="M75" i="6"/>
  <c r="M76" i="6"/>
  <c r="L91" i="6"/>
  <c r="I22" i="15" s="1"/>
  <c r="A3" i="21"/>
  <c r="A4" i="21" s="1"/>
  <c r="A5" i="21" s="1"/>
  <c r="A6" i="21" s="1"/>
  <c r="A7" i="21" s="1"/>
  <c r="A8" i="21" s="1"/>
  <c r="A9" i="21" s="1"/>
  <c r="A10" i="21" s="1"/>
  <c r="A11" i="21" s="1"/>
  <c r="A12" i="21" s="1"/>
  <c r="A13" i="21" s="1"/>
  <c r="C48" i="20"/>
  <c r="C47" i="20" s="1"/>
  <c r="D36" i="20"/>
  <c r="D41" i="20" s="1"/>
  <c r="E17" i="20"/>
  <c r="E16" i="22" s="1"/>
  <c r="A17" i="20"/>
  <c r="A16" i="22" s="1"/>
  <c r="E14" i="20"/>
  <c r="E13" i="22" s="1"/>
  <c r="A14" i="20"/>
  <c r="A13" i="22" s="1"/>
  <c r="E10" i="20"/>
  <c r="E9" i="20"/>
  <c r="C62" i="20" s="1"/>
  <c r="C56" i="20"/>
  <c r="E55" i="20"/>
  <c r="C50" i="20"/>
  <c r="E49" i="20"/>
  <c r="C49" i="20"/>
  <c r="E40" i="20"/>
  <c r="E39" i="20"/>
  <c r="E38" i="20"/>
  <c r="B38" i="20"/>
  <c r="B39" i="20" s="1"/>
  <c r="B40" i="20" s="1"/>
  <c r="B41" i="20" s="1"/>
  <c r="E33" i="20"/>
  <c r="E32" i="20"/>
  <c r="E29" i="20"/>
  <c r="E27" i="20"/>
  <c r="E25" i="20"/>
  <c r="E21" i="20"/>
  <c r="D21" i="20" s="1"/>
  <c r="K66" i="6"/>
  <c r="L3" i="12"/>
  <c r="L4" i="12" s="1"/>
  <c r="F28" i="6"/>
  <c r="G33" i="6"/>
  <c r="G34" i="6"/>
  <c r="G36" i="6"/>
  <c r="D50" i="6"/>
  <c r="G45" i="6"/>
  <c r="G46" i="6"/>
  <c r="G47" i="6"/>
  <c r="E67" i="6"/>
  <c r="G67" i="6"/>
  <c r="F11" i="18" s="1"/>
  <c r="H11" i="18" s="1"/>
  <c r="E68" i="6"/>
  <c r="K68" i="6" s="1"/>
  <c r="F53" i="27"/>
  <c r="D2" i="12"/>
  <c r="C43" i="19"/>
  <c r="C42" i="19"/>
  <c r="C41" i="19"/>
  <c r="C40" i="19"/>
  <c r="C39" i="19"/>
  <c r="C38" i="19"/>
  <c r="C37" i="19"/>
  <c r="C36" i="19"/>
  <c r="C35" i="19"/>
  <c r="C34" i="19"/>
  <c r="C33" i="19"/>
  <c r="C32" i="19"/>
  <c r="C31" i="19"/>
  <c r="C30" i="19"/>
  <c r="C29" i="19"/>
  <c r="C28" i="19"/>
  <c r="C27" i="19"/>
  <c r="C26" i="19"/>
  <c r="C25" i="19"/>
  <c r="C24" i="19"/>
  <c r="C23" i="19"/>
  <c r="C22" i="19"/>
  <c r="C21" i="19"/>
  <c r="C20" i="19"/>
  <c r="C19" i="19"/>
  <c r="C18" i="19"/>
  <c r="C17" i="19"/>
  <c r="C16" i="19"/>
  <c r="C15" i="19"/>
  <c r="C14" i="19"/>
  <c r="C13" i="19"/>
  <c r="C12" i="19"/>
  <c r="C11" i="19"/>
  <c r="C10" i="19"/>
  <c r="C9" i="19"/>
  <c r="C8" i="19"/>
  <c r="C7" i="19"/>
  <c r="C6" i="19"/>
  <c r="C5" i="19"/>
  <c r="C4" i="19"/>
  <c r="C3" i="19"/>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3" i="13"/>
  <c r="N13" i="18"/>
  <c r="L19" i="18"/>
  <c r="E40" i="18"/>
  <c r="E41" i="18"/>
  <c r="G41" i="18"/>
  <c r="J41" i="18"/>
  <c r="K41" i="18"/>
  <c r="J40" i="18"/>
  <c r="K40" i="18"/>
  <c r="G40" i="18"/>
  <c r="N20" i="18"/>
  <c r="N17" i="18"/>
  <c r="N16" i="18"/>
  <c r="O18" i="18"/>
  <c r="L46" i="12"/>
  <c r="L48" i="12" s="1"/>
  <c r="L49" i="12" s="1"/>
  <c r="O27" i="18"/>
  <c r="B12" i="10"/>
  <c r="D12" i="10"/>
  <c r="F12" i="10"/>
  <c r="F14" i="10" s="1"/>
  <c r="B13" i="10"/>
  <c r="B18" i="10" s="1"/>
  <c r="B20" i="10" s="1"/>
  <c r="B21" i="10" s="1"/>
  <c r="D13" i="10"/>
  <c r="F13" i="10"/>
  <c r="D15" i="10"/>
  <c r="F15" i="10"/>
  <c r="F16" i="10"/>
  <c r="D17" i="10"/>
  <c r="F17" i="10"/>
  <c r="D21" i="10"/>
  <c r="D20" i="10"/>
  <c r="D19" i="10" s="1"/>
  <c r="B23" i="10"/>
  <c r="B24" i="10" s="1"/>
  <c r="D28" i="10"/>
  <c r="D29" i="10"/>
  <c r="F29" i="10"/>
  <c r="B41" i="10"/>
  <c r="B48" i="10" s="1"/>
  <c r="B50" i="10" s="1"/>
  <c r="B51" i="10" s="1"/>
  <c r="D41" i="10"/>
  <c r="F41" i="10"/>
  <c r="B42" i="10"/>
  <c r="D42" i="10"/>
  <c r="F42" i="10"/>
  <c r="D44" i="10"/>
  <c r="F44" i="10"/>
  <c r="D45" i="10"/>
  <c r="F45" i="10"/>
  <c r="D46" i="10"/>
  <c r="F46" i="10"/>
  <c r="D47" i="10"/>
  <c r="F47" i="10"/>
  <c r="B53" i="10"/>
  <c r="B57" i="10" s="1"/>
  <c r="B55" i="10"/>
  <c r="D55" i="10"/>
  <c r="F55" i="10"/>
  <c r="B12" i="9"/>
  <c r="D12" i="9"/>
  <c r="D14" i="9" s="1"/>
  <c r="F12" i="9"/>
  <c r="F14" i="9" s="1"/>
  <c r="B13" i="9"/>
  <c r="B18" i="9" s="1"/>
  <c r="B20" i="9" s="1"/>
  <c r="B21" i="9" s="1"/>
  <c r="D13" i="9"/>
  <c r="F13" i="9"/>
  <c r="D15" i="9"/>
  <c r="F15" i="9"/>
  <c r="D16" i="9"/>
  <c r="F16" i="9"/>
  <c r="F29" i="9" s="1"/>
  <c r="D17" i="9"/>
  <c r="F17" i="9"/>
  <c r="D21" i="9"/>
  <c r="D20" i="9" s="1"/>
  <c r="D19" i="9" s="1"/>
  <c r="D18" i="9" s="1"/>
  <c r="D22" i="9"/>
  <c r="B23" i="9"/>
  <c r="D23" i="9" s="1"/>
  <c r="D29" i="9"/>
  <c r="B42" i="9"/>
  <c r="D42" i="9"/>
  <c r="F42" i="9"/>
  <c r="F49" i="9" s="1"/>
  <c r="B43" i="9"/>
  <c r="D43" i="9"/>
  <c r="F43" i="9"/>
  <c r="D45" i="9"/>
  <c r="F45" i="9"/>
  <c r="D46" i="9"/>
  <c r="F46" i="9"/>
  <c r="D47" i="9"/>
  <c r="F47" i="9"/>
  <c r="D48" i="9"/>
  <c r="F48" i="9"/>
  <c r="B54" i="9"/>
  <c r="B58" i="9" s="1"/>
  <c r="F56" i="9"/>
  <c r="F57" i="9"/>
  <c r="B13" i="11"/>
  <c r="D13" i="11"/>
  <c r="D15" i="11" s="1"/>
  <c r="D45" i="11" s="1"/>
  <c r="F13" i="11"/>
  <c r="F15" i="11" s="1"/>
  <c r="B14" i="11"/>
  <c r="D14" i="11"/>
  <c r="F14" i="11"/>
  <c r="D16" i="11"/>
  <c r="F16" i="11"/>
  <c r="D17" i="11"/>
  <c r="D47" i="11" s="1"/>
  <c r="D18" i="11"/>
  <c r="F18" i="11"/>
  <c r="D23" i="11"/>
  <c r="D22" i="11" s="1"/>
  <c r="D21" i="11" s="1"/>
  <c r="B24" i="11"/>
  <c r="B25" i="11" s="1"/>
  <c r="F30" i="11"/>
  <c r="B42" i="11"/>
  <c r="D42" i="11"/>
  <c r="F42" i="11"/>
  <c r="B43" i="11"/>
  <c r="D43" i="11"/>
  <c r="F43" i="11"/>
  <c r="D46" i="11"/>
  <c r="F46" i="11"/>
  <c r="F47" i="11"/>
  <c r="D48" i="11"/>
  <c r="F48" i="11"/>
  <c r="B49" i="11"/>
  <c r="B51" i="11" s="1"/>
  <c r="B52" i="11" s="1"/>
  <c r="B54" i="11"/>
  <c r="B56" i="11"/>
  <c r="F56" i="11"/>
  <c r="B60" i="11"/>
  <c r="B13" i="1"/>
  <c r="D13" i="1"/>
  <c r="D43" i="1" s="1"/>
  <c r="F13" i="1"/>
  <c r="F43" i="1" s="1"/>
  <c r="B14" i="1"/>
  <c r="B44" i="1" s="1"/>
  <c r="D14" i="1"/>
  <c r="D44" i="1" s="1"/>
  <c r="F14" i="1"/>
  <c r="F44" i="1" s="1"/>
  <c r="D16" i="1"/>
  <c r="D46" i="1" s="1"/>
  <c r="F16" i="1"/>
  <c r="F46" i="1" s="1"/>
  <c r="D17" i="1"/>
  <c r="D47" i="1" s="1"/>
  <c r="D18" i="1"/>
  <c r="D48" i="1" s="1"/>
  <c r="F18" i="1"/>
  <c r="F48" i="1" s="1"/>
  <c r="D22" i="1"/>
  <c r="D21" i="1" s="1"/>
  <c r="B24" i="1"/>
  <c r="B25" i="1" s="1"/>
  <c r="D30" i="1"/>
  <c r="F30" i="1"/>
  <c r="B42" i="1"/>
  <c r="D42" i="1"/>
  <c r="F42" i="1"/>
  <c r="B45" i="1"/>
  <c r="F45" i="1"/>
  <c r="B46" i="1"/>
  <c r="B47" i="1"/>
  <c r="F47" i="1"/>
  <c r="B48" i="1"/>
  <c r="B50" i="1"/>
  <c r="B54" i="1"/>
  <c r="F56" i="1"/>
  <c r="F57" i="1" s="1"/>
  <c r="D57" i="1"/>
  <c r="C3" i="14"/>
  <c r="C4" i="14"/>
  <c r="C5" i="14"/>
  <c r="C6" i="14"/>
  <c r="C7" i="14"/>
  <c r="C8" i="14"/>
  <c r="C9" i="14"/>
  <c r="C10" i="14"/>
  <c r="C11" i="14"/>
  <c r="C12" i="14"/>
  <c r="C13" i="14"/>
  <c r="C14" i="14"/>
  <c r="C15" i="14"/>
  <c r="C16" i="14"/>
  <c r="C17" i="14"/>
  <c r="C18" i="14"/>
  <c r="C19" i="14"/>
  <c r="C20" i="14"/>
  <c r="C21" i="14"/>
  <c r="C22" i="14"/>
  <c r="C23" i="14"/>
  <c r="C24" i="14"/>
  <c r="C25" i="14"/>
  <c r="C26" i="14"/>
  <c r="C27" i="14"/>
  <c r="C28" i="14"/>
  <c r="C29" i="14"/>
  <c r="C30" i="14"/>
  <c r="C31" i="14"/>
  <c r="C32" i="14"/>
  <c r="C33" i="14"/>
  <c r="C34" i="14"/>
  <c r="C35" i="14"/>
  <c r="C36" i="14"/>
  <c r="C37" i="14"/>
  <c r="C38" i="14"/>
  <c r="C39" i="14"/>
  <c r="C40" i="14"/>
  <c r="C41" i="14"/>
  <c r="C42" i="14"/>
  <c r="C43" i="14"/>
  <c r="C44" i="14"/>
  <c r="C45" i="14"/>
  <c r="C46" i="14"/>
  <c r="C47" i="14"/>
  <c r="C48" i="14"/>
  <c r="C49" i="14"/>
  <c r="C50" i="14"/>
  <c r="C51" i="14"/>
  <c r="C52" i="14"/>
  <c r="C53" i="14"/>
  <c r="C54" i="14"/>
  <c r="C55" i="14"/>
  <c r="C56" i="14"/>
  <c r="C57" i="14"/>
  <c r="C58" i="14"/>
  <c r="C59" i="14"/>
  <c r="C60" i="14"/>
  <c r="C61" i="14"/>
  <c r="C62" i="14"/>
  <c r="C63" i="14"/>
  <c r="C64" i="14"/>
  <c r="C65" i="14"/>
  <c r="C66" i="14"/>
  <c r="C67" i="14"/>
  <c r="C68" i="14"/>
  <c r="C69" i="14"/>
  <c r="C70" i="14"/>
  <c r="C71" i="14"/>
  <c r="C72" i="14"/>
  <c r="C73" i="14"/>
  <c r="C74" i="14"/>
  <c r="C75" i="14"/>
  <c r="C76" i="14"/>
  <c r="C77" i="14"/>
  <c r="C78" i="14"/>
  <c r="C79" i="14"/>
  <c r="C80" i="14"/>
  <c r="C81" i="14"/>
  <c r="C82" i="14"/>
  <c r="C83" i="14"/>
  <c r="C84" i="14"/>
  <c r="C85" i="14"/>
  <c r="C86" i="14"/>
  <c r="C87" i="14"/>
  <c r="C44" i="19"/>
  <c r="G5" i="12"/>
  <c r="H5" i="12" s="1"/>
  <c r="G6" i="12"/>
  <c r="H6" i="12" s="1"/>
  <c r="H7" i="12" s="1"/>
  <c r="H8" i="12" s="1"/>
  <c r="H9" i="12" s="1"/>
  <c r="H10" i="12" s="1"/>
  <c r="H11" i="12" s="1"/>
  <c r="G50" i="12"/>
  <c r="H50" i="12" s="1"/>
  <c r="G51" i="12"/>
  <c r="H51" i="12" s="1"/>
  <c r="H52" i="12" s="1"/>
  <c r="H53" i="12" s="1"/>
  <c r="H54" i="12" s="1"/>
  <c r="H55" i="12" s="1"/>
  <c r="H56" i="12" s="1"/>
  <c r="C3" i="15"/>
  <c r="C4" i="15"/>
  <c r="C5" i="15"/>
  <c r="A2" i="18"/>
  <c r="D30" i="18" s="1"/>
  <c r="A4" i="18"/>
  <c r="A5" i="18"/>
  <c r="F5" i="18"/>
  <c r="H5" i="18" s="1"/>
  <c r="A6" i="18"/>
  <c r="F6" i="18"/>
  <c r="F12" i="18" s="1"/>
  <c r="I12" i="18" s="1"/>
  <c r="A7" i="18"/>
  <c r="F7" i="18"/>
  <c r="H7" i="18" s="1"/>
  <c r="E11" i="18"/>
  <c r="G11" i="18"/>
  <c r="E20" i="18"/>
  <c r="G20" i="18"/>
  <c r="J20" i="18"/>
  <c r="K20" i="18"/>
  <c r="G27" i="18"/>
  <c r="G28" i="18" s="1"/>
  <c r="J27" i="18"/>
  <c r="K27" i="18"/>
  <c r="H30" i="18"/>
  <c r="E36" i="18"/>
  <c r="G36" i="18"/>
  <c r="J36" i="18"/>
  <c r="K36" i="18"/>
  <c r="E37" i="18"/>
  <c r="G37" i="18"/>
  <c r="J37" i="18"/>
  <c r="K37" i="18"/>
  <c r="E38" i="18"/>
  <c r="G38" i="18"/>
  <c r="J38" i="18"/>
  <c r="K38" i="18"/>
  <c r="E39" i="18"/>
  <c r="G39" i="18"/>
  <c r="J39" i="18"/>
  <c r="K39" i="18"/>
  <c r="P37" i="18"/>
  <c r="Q37" i="18" s="1"/>
  <c r="E91" i="6"/>
  <c r="M91" i="6" s="1"/>
  <c r="I29" i="18" s="1"/>
  <c r="E63" i="6"/>
  <c r="K63" i="6" s="1"/>
  <c r="K62" i="6" s="1"/>
  <c r="G39" i="6"/>
  <c r="B58" i="1"/>
  <c r="E47" i="20"/>
  <c r="D37" i="20"/>
  <c r="E24" i="20" s="1"/>
  <c r="E35" i="20"/>
  <c r="C55" i="20"/>
  <c r="E34" i="20"/>
  <c r="E31" i="20"/>
  <c r="E30" i="20"/>
  <c r="E28" i="20"/>
  <c r="M66" i="6"/>
  <c r="E26" i="20"/>
  <c r="F44" i="6"/>
  <c r="G42" i="6" s="1"/>
  <c r="C11" i="12" l="1"/>
  <c r="B25" i="12"/>
  <c r="B24" i="12"/>
  <c r="G52" i="12"/>
  <c r="G54" i="27"/>
  <c r="G51" i="27"/>
  <c r="G52" i="27"/>
  <c r="B38" i="25"/>
  <c r="G38" i="25" s="1"/>
  <c r="G39" i="25" s="1"/>
  <c r="G76" i="27"/>
  <c r="G23" i="15"/>
  <c r="H25" i="15"/>
  <c r="G25" i="15" s="1"/>
  <c r="H24" i="15"/>
  <c r="G24" i="15" s="1"/>
  <c r="H26" i="15"/>
  <c r="G26" i="15" s="1"/>
  <c r="F14" i="18"/>
  <c r="I14" i="18" s="1"/>
  <c r="G53" i="27"/>
  <c r="B49" i="9"/>
  <c r="B51" i="9" s="1"/>
  <c r="B52" i="9" s="1"/>
  <c r="D27" i="9"/>
  <c r="B59" i="10"/>
  <c r="B60" i="1"/>
  <c r="B28" i="1"/>
  <c r="F57" i="11"/>
  <c r="G40" i="6"/>
  <c r="F15" i="18"/>
  <c r="M66" i="22"/>
  <c r="I5" i="18"/>
  <c r="H6" i="18"/>
  <c r="E6" i="18"/>
  <c r="H12" i="18"/>
  <c r="D54" i="12"/>
  <c r="N54" i="12" s="1"/>
  <c r="D50" i="12"/>
  <c r="N50" i="12" s="1"/>
  <c r="C10" i="12"/>
  <c r="M10" i="12" s="1"/>
  <c r="D5" i="12"/>
  <c r="N5" i="12" s="1"/>
  <c r="C9" i="12"/>
  <c r="M9" i="12" s="1"/>
  <c r="D7" i="12"/>
  <c r="N7" i="12" s="1"/>
  <c r="D52" i="12"/>
  <c r="N52" i="12" s="1"/>
  <c r="D51" i="12"/>
  <c r="N51" i="12" s="1"/>
  <c r="C8" i="12"/>
  <c r="M8" i="12" s="1"/>
  <c r="C56" i="12"/>
  <c r="M56" i="12" s="1"/>
  <c r="D9" i="12"/>
  <c r="N9" i="12" s="1"/>
  <c r="C7" i="12"/>
  <c r="M7" i="12" s="1"/>
  <c r="G32" i="6"/>
  <c r="I30" i="18"/>
  <c r="D6" i="18"/>
  <c r="F41" i="18"/>
  <c r="D45" i="18" s="1"/>
  <c r="I7" i="18"/>
  <c r="H41" i="18"/>
  <c r="E62" i="6"/>
  <c r="D11" i="18"/>
  <c r="C54" i="12"/>
  <c r="M54" i="12" s="1"/>
  <c r="D10" i="12"/>
  <c r="N10" i="12" s="1"/>
  <c r="D8" i="12"/>
  <c r="N8" i="12" s="1"/>
  <c r="D47" i="12"/>
  <c r="C6" i="12"/>
  <c r="M6" i="12" s="1"/>
  <c r="C53" i="12"/>
  <c r="M53" i="12" s="1"/>
  <c r="C55" i="12"/>
  <c r="M55" i="12" s="1"/>
  <c r="D55" i="12"/>
  <c r="N55" i="12" s="1"/>
  <c r="D53" i="12"/>
  <c r="N53" i="12" s="1"/>
  <c r="D6" i="12"/>
  <c r="N6" i="12" s="1"/>
  <c r="C52" i="12"/>
  <c r="M52" i="12" s="1"/>
  <c r="C51" i="12"/>
  <c r="M51" i="12" s="1"/>
  <c r="E54" i="20"/>
  <c r="E44" i="20"/>
  <c r="E46" i="20"/>
  <c r="K61" i="6"/>
  <c r="H10" i="18" s="1"/>
  <c r="C54" i="20"/>
  <c r="D5" i="18"/>
  <c r="D29" i="18"/>
  <c r="I34" i="18" s="1"/>
  <c r="B19" i="1"/>
  <c r="B21" i="1" s="1"/>
  <c r="B22" i="1" s="1"/>
  <c r="B19" i="11"/>
  <c r="B21" i="11" s="1"/>
  <c r="B22" i="11" s="1"/>
  <c r="D49" i="9"/>
  <c r="D50" i="9" s="1"/>
  <c r="D51" i="9" s="1"/>
  <c r="D52" i="9" s="1"/>
  <c r="D53" i="9" s="1"/>
  <c r="D54" i="9" s="1"/>
  <c r="D15" i="1"/>
  <c r="D45" i="1" s="1"/>
  <c r="D49" i="1" s="1"/>
  <c r="D30" i="11"/>
  <c r="D48" i="10"/>
  <c r="D27" i="10"/>
  <c r="F18" i="10"/>
  <c r="B43" i="1"/>
  <c r="B49" i="1" s="1"/>
  <c r="B51" i="1" s="1"/>
  <c r="B52" i="1" s="1"/>
  <c r="D49" i="11"/>
  <c r="F48" i="10"/>
  <c r="M47" i="22"/>
  <c r="A48" i="22" s="1"/>
  <c r="O29" i="18"/>
  <c r="C46" i="20"/>
  <c r="F49" i="1"/>
  <c r="F56" i="10"/>
  <c r="E41" i="20"/>
  <c r="C44" i="20"/>
  <c r="I11" i="18"/>
  <c r="F4" i="18"/>
  <c r="O55" i="6"/>
  <c r="C56" i="6" s="1"/>
  <c r="M59" i="6"/>
  <c r="M77" i="6" s="1"/>
  <c r="G31" i="6"/>
  <c r="G37" i="6"/>
  <c r="E59" i="6"/>
  <c r="G35" i="6"/>
  <c r="G38" i="6"/>
  <c r="I4" i="18"/>
  <c r="D4" i="18"/>
  <c r="G41" i="6"/>
  <c r="N54" i="6"/>
  <c r="N52" i="6" s="1"/>
  <c r="M61" i="6"/>
  <c r="I10" i="18" s="1"/>
  <c r="E61" i="6"/>
  <c r="D49" i="10"/>
  <c r="D50" i="10" s="1"/>
  <c r="D51" i="10" s="1"/>
  <c r="D52" i="10" s="1"/>
  <c r="D53" i="10" s="1"/>
  <c r="N56" i="12"/>
  <c r="M50" i="12"/>
  <c r="E37" i="20"/>
  <c r="D20" i="1"/>
  <c r="D50" i="11"/>
  <c r="D51" i="11" s="1"/>
  <c r="D52" i="11" s="1"/>
  <c r="D53" i="11" s="1"/>
  <c r="D54" i="11" s="1"/>
  <c r="D20" i="11"/>
  <c r="D28" i="11" s="1"/>
  <c r="F49" i="10"/>
  <c r="F50" i="10" s="1"/>
  <c r="F51" i="10" s="1"/>
  <c r="F52" i="10" s="1"/>
  <c r="F53" i="10" s="1"/>
  <c r="F45" i="11"/>
  <c r="F49" i="11" s="1"/>
  <c r="F19" i="11"/>
  <c r="F50" i="9"/>
  <c r="F51" i="9" s="1"/>
  <c r="F52" i="9" s="1"/>
  <c r="F53" i="9" s="1"/>
  <c r="F54" i="9" s="1"/>
  <c r="I55" i="22"/>
  <c r="I54" i="22" s="1"/>
  <c r="C54" i="22"/>
  <c r="C53" i="22"/>
  <c r="N11" i="12"/>
  <c r="J4" i="12"/>
  <c r="M11" i="12"/>
  <c r="M5" i="12"/>
  <c r="E65" i="22"/>
  <c r="E51" i="22"/>
  <c r="E53" i="22"/>
  <c r="D7" i="18"/>
  <c r="F19" i="1"/>
  <c r="F48" i="6"/>
  <c r="E34" i="22"/>
  <c r="K55" i="22"/>
  <c r="G7" i="12"/>
  <c r="B58" i="11"/>
  <c r="I65" i="22"/>
  <c r="C65" i="22"/>
  <c r="B27" i="10"/>
  <c r="I6" i="18"/>
  <c r="I41" i="18"/>
  <c r="B28" i="11"/>
  <c r="B60" i="9"/>
  <c r="C51" i="22"/>
  <c r="E7" i="18"/>
  <c r="D24" i="11"/>
  <c r="D25" i="11" s="1"/>
  <c r="B27" i="9"/>
  <c r="F18" i="9"/>
  <c r="E5" i="18"/>
  <c r="K51" i="22"/>
  <c r="E23" i="22"/>
  <c r="F17" i="18"/>
  <c r="H17" i="18" s="1"/>
  <c r="B24" i="9"/>
  <c r="K65" i="22"/>
  <c r="B23" i="12" l="1"/>
  <c r="B22" i="12"/>
  <c r="J19" i="12"/>
  <c r="J18" i="12"/>
  <c r="F64" i="27" s="1"/>
  <c r="B20" i="12"/>
  <c r="G53" i="12"/>
  <c r="F52" i="12"/>
  <c r="G61" i="6"/>
  <c r="F10" i="18" s="1"/>
  <c r="G41" i="25"/>
  <c r="M91" i="28"/>
  <c r="M88" i="28" s="1"/>
  <c r="M91" i="27"/>
  <c r="M88" i="27" s="1"/>
  <c r="M75" i="27"/>
  <c r="G75" i="27"/>
  <c r="D19" i="11"/>
  <c r="M87" i="24"/>
  <c r="M86" i="24" s="1"/>
  <c r="J49" i="12"/>
  <c r="B52" i="12"/>
  <c r="D10" i="18"/>
  <c r="B8" i="12"/>
  <c r="B11" i="12"/>
  <c r="B9" i="12"/>
  <c r="E51" i="20"/>
  <c r="E57" i="20" s="1"/>
  <c r="E58" i="20" s="1"/>
  <c r="E59" i="20" s="1"/>
  <c r="B5" i="12"/>
  <c r="B50" i="12"/>
  <c r="J48" i="12" s="1"/>
  <c r="B55" i="12"/>
  <c r="B6" i="12"/>
  <c r="F19" i="10"/>
  <c r="F27" i="10" s="1"/>
  <c r="B51" i="12"/>
  <c r="C57" i="20"/>
  <c r="C59" i="20" s="1"/>
  <c r="C60" i="20" s="1"/>
  <c r="B56" i="12"/>
  <c r="C71" i="22"/>
  <c r="C73" i="22" s="1"/>
  <c r="C74" i="22" s="1"/>
  <c r="B10" i="12"/>
  <c r="B7" i="12"/>
  <c r="I53" i="22"/>
  <c r="B54" i="12"/>
  <c r="D58" i="9"/>
  <c r="D60" i="9"/>
  <c r="M80" i="6"/>
  <c r="L51" i="22"/>
  <c r="M51" i="22" s="1"/>
  <c r="I51" i="22"/>
  <c r="E70" i="22"/>
  <c r="I8" i="18"/>
  <c r="D60" i="11"/>
  <c r="D55" i="11"/>
  <c r="D58" i="11" s="1"/>
  <c r="D50" i="1"/>
  <c r="D51" i="1" s="1"/>
  <c r="D52" i="1" s="1"/>
  <c r="D53" i="1" s="1"/>
  <c r="D54" i="1" s="1"/>
  <c r="D28" i="1"/>
  <c r="D59" i="10"/>
  <c r="D57" i="10"/>
  <c r="F8" i="18"/>
  <c r="H4" i="18"/>
  <c r="N11" i="18"/>
  <c r="D8" i="18"/>
  <c r="G59" i="6"/>
  <c r="F20" i="1"/>
  <c r="F21" i="1" s="1"/>
  <c r="F22" i="1" s="1"/>
  <c r="F23" i="1" s="1"/>
  <c r="F24" i="1" s="1"/>
  <c r="F25" i="1" s="1"/>
  <c r="D19" i="1"/>
  <c r="B53" i="12"/>
  <c r="F7" i="12"/>
  <c r="G8" i="12"/>
  <c r="E36" i="22"/>
  <c r="E40" i="22"/>
  <c r="F59" i="10"/>
  <c r="F54" i="10"/>
  <c r="F57" i="10" s="1"/>
  <c r="K54" i="22"/>
  <c r="K53" i="22"/>
  <c r="K74" i="22"/>
  <c r="K73" i="22" s="1"/>
  <c r="M89" i="6"/>
  <c r="M88" i="6" s="1"/>
  <c r="F55" i="9"/>
  <c r="F58" i="9" s="1"/>
  <c r="F60" i="9"/>
  <c r="F50" i="11"/>
  <c r="F51" i="11" s="1"/>
  <c r="F52" i="11" s="1"/>
  <c r="F53" i="11" s="1"/>
  <c r="F54" i="11" s="1"/>
  <c r="F19" i="9"/>
  <c r="F27" i="9" s="1"/>
  <c r="E58" i="22"/>
  <c r="M65" i="22" s="1"/>
  <c r="K58" i="22"/>
  <c r="K70" i="22"/>
  <c r="F20" i="11"/>
  <c r="F28" i="11" s="1"/>
  <c r="G48" i="6"/>
  <c r="G44" i="6"/>
  <c r="G54" i="12" l="1"/>
  <c r="F53" i="12"/>
  <c r="G77" i="6"/>
  <c r="G77" i="27" s="1"/>
  <c r="G80" i="6"/>
  <c r="P91" i="27"/>
  <c r="O91" i="27"/>
  <c r="M79" i="27"/>
  <c r="M79" i="28"/>
  <c r="O91" i="28"/>
  <c r="P91" i="28"/>
  <c r="F63" i="24"/>
  <c r="G63" i="24" s="1"/>
  <c r="O60" i="24" s="1"/>
  <c r="F65" i="27"/>
  <c r="F65" i="28"/>
  <c r="F20" i="9"/>
  <c r="F21" i="9" s="1"/>
  <c r="F22" i="9" s="1"/>
  <c r="F23" i="9" s="1"/>
  <c r="F24" i="9" s="1"/>
  <c r="F20" i="10"/>
  <c r="F21" i="10" s="1"/>
  <c r="F22" i="10" s="1"/>
  <c r="F23" i="10" s="1"/>
  <c r="F24" i="10" s="1"/>
  <c r="P87" i="24"/>
  <c r="O87" i="24"/>
  <c r="M77" i="24"/>
  <c r="F65" i="6"/>
  <c r="J3" i="12"/>
  <c r="D47" i="20"/>
  <c r="D54" i="22"/>
  <c r="I71" i="22"/>
  <c r="I72" i="22" s="1"/>
  <c r="I73" i="22" s="1"/>
  <c r="I74" i="22" s="1"/>
  <c r="H2" i="14"/>
  <c r="H3" i="14" s="1"/>
  <c r="E60" i="20"/>
  <c r="M74" i="22"/>
  <c r="K72" i="22"/>
  <c r="N74" i="22"/>
  <c r="N59" i="6"/>
  <c r="O59" i="6" s="1"/>
  <c r="K59" i="6"/>
  <c r="M58" i="22"/>
  <c r="F60" i="11"/>
  <c r="F55" i="11"/>
  <c r="F58" i="11" s="1"/>
  <c r="L71" i="22"/>
  <c r="D60" i="1"/>
  <c r="D58" i="1"/>
  <c r="E61" i="22"/>
  <c r="E62" i="22" s="1"/>
  <c r="E71" i="22" s="1"/>
  <c r="P89" i="6"/>
  <c r="M79" i="6"/>
  <c r="O89" i="6"/>
  <c r="F21" i="11"/>
  <c r="G9" i="12"/>
  <c r="F8" i="12"/>
  <c r="F50" i="1"/>
  <c r="F51" i="1" s="1"/>
  <c r="F52" i="1" s="1"/>
  <c r="F53" i="1" s="1"/>
  <c r="F54" i="1" s="1"/>
  <c r="F28" i="1"/>
  <c r="H8" i="18"/>
  <c r="M53" i="22"/>
  <c r="M54" i="22" s="1"/>
  <c r="F54" i="12" l="1"/>
  <c r="G55" i="12"/>
  <c r="K65" i="27"/>
  <c r="M65" i="27"/>
  <c r="G65" i="27"/>
  <c r="O62" i="27" s="1"/>
  <c r="E65" i="27"/>
  <c r="M63" i="24"/>
  <c r="E63" i="24"/>
  <c r="K63" i="24"/>
  <c r="P93" i="27"/>
  <c r="O93" i="27"/>
  <c r="F62" i="24"/>
  <c r="G64" i="28"/>
  <c r="G64" i="27"/>
  <c r="G65" i="6"/>
  <c r="O62" i="6" s="1"/>
  <c r="K65" i="6"/>
  <c r="E65" i="6"/>
  <c r="M65" i="6"/>
  <c r="G65" i="28"/>
  <c r="O62" i="28" s="1"/>
  <c r="K65" i="28"/>
  <c r="M65" i="28"/>
  <c r="E65" i="28"/>
  <c r="P89" i="24"/>
  <c r="O89" i="24"/>
  <c r="F16" i="18"/>
  <c r="I16" i="18" s="1"/>
  <c r="F64" i="6"/>
  <c r="G64" i="6" s="1"/>
  <c r="D53" i="22"/>
  <c r="D46" i="20"/>
  <c r="G10" i="12"/>
  <c r="F9" i="12"/>
  <c r="I22" i="14"/>
  <c r="J27" i="14"/>
  <c r="I16" i="14"/>
  <c r="I4" i="14"/>
  <c r="J50" i="14"/>
  <c r="J40" i="14"/>
  <c r="J84" i="14"/>
  <c r="I80" i="14"/>
  <c r="J6" i="14"/>
  <c r="I88" i="14"/>
  <c r="J78" i="14"/>
  <c r="I37" i="14"/>
  <c r="I42" i="14"/>
  <c r="J54" i="14"/>
  <c r="J23" i="14"/>
  <c r="I70" i="14"/>
  <c r="J73" i="14"/>
  <c r="J63" i="14"/>
  <c r="I31" i="14"/>
  <c r="J71" i="14"/>
  <c r="I54" i="14"/>
  <c r="J16" i="14"/>
  <c r="D88" i="14"/>
  <c r="I62" i="14"/>
  <c r="I18" i="14"/>
  <c r="I43" i="14"/>
  <c r="I46" i="14"/>
  <c r="J39" i="14"/>
  <c r="I29" i="14"/>
  <c r="F3" i="14"/>
  <c r="J76" i="14"/>
  <c r="I47" i="14"/>
  <c r="J15" i="14"/>
  <c r="J75" i="14"/>
  <c r="I76" i="14"/>
  <c r="J79" i="14"/>
  <c r="I38" i="14"/>
  <c r="J37" i="14"/>
  <c r="J52" i="14"/>
  <c r="I48" i="14"/>
  <c r="J66" i="14"/>
  <c r="I5" i="14"/>
  <c r="I19" i="14"/>
  <c r="J8" i="14"/>
  <c r="J65" i="14"/>
  <c r="I30" i="14"/>
  <c r="J36" i="14"/>
  <c r="I52" i="14"/>
  <c r="I39" i="14"/>
  <c r="J83" i="14"/>
  <c r="J28" i="14"/>
  <c r="J10" i="14"/>
  <c r="J29" i="14"/>
  <c r="J30" i="14"/>
  <c r="I57" i="14"/>
  <c r="I28" i="14"/>
  <c r="J45" i="14"/>
  <c r="J88" i="14"/>
  <c r="J34" i="14"/>
  <c r="I82" i="14"/>
  <c r="I49" i="14"/>
  <c r="J13" i="14"/>
  <c r="I24" i="14"/>
  <c r="J60" i="14"/>
  <c r="J5" i="14"/>
  <c r="J47" i="14"/>
  <c r="J43" i="14"/>
  <c r="J18" i="14"/>
  <c r="J22" i="14"/>
  <c r="J19" i="14"/>
  <c r="J81" i="14"/>
  <c r="I20" i="14"/>
  <c r="J25" i="14"/>
  <c r="I77" i="14"/>
  <c r="I66" i="14"/>
  <c r="J31" i="14"/>
  <c r="I72" i="14"/>
  <c r="I40" i="14"/>
  <c r="A40" i="14" s="1"/>
  <c r="J59" i="14"/>
  <c r="J38" i="14"/>
  <c r="J61" i="14"/>
  <c r="I14" i="14"/>
  <c r="J58" i="14"/>
  <c r="I35" i="14"/>
  <c r="J26" i="14"/>
  <c r="I36" i="14"/>
  <c r="J49" i="14"/>
  <c r="I60" i="14"/>
  <c r="A60" i="14" s="1"/>
  <c r="J11" i="14"/>
  <c r="I74" i="14"/>
  <c r="J85" i="14"/>
  <c r="I33" i="14"/>
  <c r="J32" i="14"/>
  <c r="I79" i="14"/>
  <c r="I61" i="14"/>
  <c r="I25" i="14"/>
  <c r="I75" i="14"/>
  <c r="I3" i="14"/>
  <c r="I56" i="14"/>
  <c r="I81" i="14"/>
  <c r="J21" i="14"/>
  <c r="I55" i="14"/>
  <c r="J82" i="14"/>
  <c r="J72" i="14"/>
  <c r="J46" i="14"/>
  <c r="I53" i="14"/>
  <c r="I85" i="14"/>
  <c r="J56" i="14"/>
  <c r="I15" i="14"/>
  <c r="J35" i="14"/>
  <c r="I64" i="14"/>
  <c r="I83" i="14"/>
  <c r="J86" i="14"/>
  <c r="J3" i="14"/>
  <c r="J77" i="14"/>
  <c r="I9" i="14"/>
  <c r="I44" i="14"/>
  <c r="J57" i="14"/>
  <c r="J12" i="14"/>
  <c r="J87" i="14"/>
  <c r="I58" i="14"/>
  <c r="I84" i="14"/>
  <c r="I50" i="14"/>
  <c r="I51" i="14"/>
  <c r="I68" i="14"/>
  <c r="J80" i="14"/>
  <c r="J7" i="14"/>
  <c r="I86" i="14"/>
  <c r="I63" i="14"/>
  <c r="J41" i="14"/>
  <c r="I7" i="14"/>
  <c r="J14" i="14"/>
  <c r="I11" i="14"/>
  <c r="J24" i="14"/>
  <c r="J55" i="14"/>
  <c r="J67" i="14"/>
  <c r="I23" i="14"/>
  <c r="I78" i="14"/>
  <c r="I21" i="14"/>
  <c r="I6" i="14"/>
  <c r="I41" i="14"/>
  <c r="I8" i="14"/>
  <c r="J64" i="14"/>
  <c r="I59" i="14"/>
  <c r="I71" i="14"/>
  <c r="J62" i="14"/>
  <c r="J17" i="14"/>
  <c r="I27" i="14"/>
  <c r="J74" i="14"/>
  <c r="J70" i="14"/>
  <c r="J68" i="14"/>
  <c r="I65" i="14"/>
  <c r="I34" i="14"/>
  <c r="J33" i="14"/>
  <c r="J51" i="14"/>
  <c r="I45" i="14"/>
  <c r="I13" i="14"/>
  <c r="J20" i="14"/>
  <c r="I87" i="14"/>
  <c r="I12" i="14"/>
  <c r="I32" i="14"/>
  <c r="I67" i="14"/>
  <c r="I10" i="14"/>
  <c r="J53" i="14"/>
  <c r="J48" i="14"/>
  <c r="I73" i="14"/>
  <c r="J9" i="14"/>
  <c r="I17" i="14"/>
  <c r="I26" i="14"/>
  <c r="J69" i="14"/>
  <c r="J4" i="14"/>
  <c r="J44" i="14"/>
  <c r="I69" i="14"/>
  <c r="J42" i="14"/>
  <c r="F60" i="1"/>
  <c r="F55" i="1"/>
  <c r="F58" i="1" s="1"/>
  <c r="F22" i="11"/>
  <c r="F23" i="11" s="1"/>
  <c r="F24" i="11" s="1"/>
  <c r="F25" i="11" s="1"/>
  <c r="G21" i="11"/>
  <c r="G22" i="11" s="1"/>
  <c r="O64" i="6"/>
  <c r="O65" i="6" s="1"/>
  <c r="M76" i="22"/>
  <c r="N76" i="22"/>
  <c r="P91" i="6"/>
  <c r="O91" i="6"/>
  <c r="E72" i="22"/>
  <c r="E73" i="22" s="1"/>
  <c r="K71" i="22"/>
  <c r="F55" i="12" l="1"/>
  <c r="G56" i="12"/>
  <c r="F56" i="12" s="1"/>
  <c r="K62" i="24"/>
  <c r="G62" i="24"/>
  <c r="G67" i="24" s="1"/>
  <c r="K64" i="27"/>
  <c r="K82" i="27" s="1"/>
  <c r="K85" i="27" s="1"/>
  <c r="K88" i="27" s="1"/>
  <c r="K91" i="27" s="1"/>
  <c r="E64" i="27"/>
  <c r="M64" i="27"/>
  <c r="M62" i="24"/>
  <c r="M80" i="24" s="1"/>
  <c r="E62" i="24"/>
  <c r="E80" i="24" s="1"/>
  <c r="E86" i="24" s="1"/>
  <c r="E87" i="24" s="1"/>
  <c r="E88" i="24" s="1"/>
  <c r="G69" i="6"/>
  <c r="G70" i="6" s="1"/>
  <c r="M64" i="6"/>
  <c r="N82" i="6" s="1"/>
  <c r="K64" i="6"/>
  <c r="H9" i="18" s="1"/>
  <c r="H18" i="18" s="1"/>
  <c r="H19" i="18" s="1"/>
  <c r="H22" i="18" s="1"/>
  <c r="H26" i="18" s="1"/>
  <c r="E64" i="6"/>
  <c r="D9" i="18" s="1"/>
  <c r="D18" i="18" s="1"/>
  <c r="M64" i="28"/>
  <c r="E64" i="28"/>
  <c r="K64" i="28"/>
  <c r="K82" i="28" s="1"/>
  <c r="K85" i="28" s="1"/>
  <c r="K88" i="28" s="1"/>
  <c r="K91" i="28" s="1"/>
  <c r="A6" i="14"/>
  <c r="A27" i="14"/>
  <c r="A63" i="14"/>
  <c r="A75" i="14"/>
  <c r="A83" i="14"/>
  <c r="A13" i="14"/>
  <c r="A54" i="14"/>
  <c r="A19" i="14"/>
  <c r="A16" i="14"/>
  <c r="F9" i="18"/>
  <c r="A10" i="14"/>
  <c r="A71" i="14"/>
  <c r="A85" i="14"/>
  <c r="A47" i="14"/>
  <c r="A66" i="14"/>
  <c r="A25" i="14"/>
  <c r="A11" i="14"/>
  <c r="A15" i="14"/>
  <c r="A45" i="14"/>
  <c r="A56" i="14"/>
  <c r="A31" i="14"/>
  <c r="A39" i="14"/>
  <c r="A86" i="14"/>
  <c r="A87" i="14"/>
  <c r="A61" i="14"/>
  <c r="A73" i="14"/>
  <c r="A8" i="14"/>
  <c r="A50" i="14"/>
  <c r="A76" i="14"/>
  <c r="A78" i="14"/>
  <c r="A84" i="14"/>
  <c r="A7" i="14"/>
  <c r="A26" i="14"/>
  <c r="A32" i="14"/>
  <c r="A34" i="14"/>
  <c r="A23" i="14"/>
  <c r="A21" i="14"/>
  <c r="A12" i="14"/>
  <c r="A65" i="14"/>
  <c r="A59" i="14"/>
  <c r="A20" i="14"/>
  <c r="A28" i="14"/>
  <c r="A52" i="14"/>
  <c r="A48" i="14"/>
  <c r="A62" i="14"/>
  <c r="A70" i="14"/>
  <c r="A80" i="14"/>
  <c r="A79" i="14"/>
  <c r="A36" i="14"/>
  <c r="A17" i="14"/>
  <c r="A58" i="14"/>
  <c r="A18" i="14"/>
  <c r="A22" i="14"/>
  <c r="A64" i="14"/>
  <c r="A24" i="14"/>
  <c r="A57" i="14"/>
  <c r="A69" i="14"/>
  <c r="A55" i="14"/>
  <c r="A30" i="14"/>
  <c r="A41" i="14"/>
  <c r="A68" i="14"/>
  <c r="A44" i="14"/>
  <c r="A72" i="14"/>
  <c r="A49" i="14"/>
  <c r="A38" i="14"/>
  <c r="A29" i="14"/>
  <c r="A42" i="14"/>
  <c r="F10" i="12"/>
  <c r="G11" i="12"/>
  <c r="F11" i="12" s="1"/>
  <c r="M71" i="22"/>
  <c r="N68" i="22"/>
  <c r="N58" i="22"/>
  <c r="A51" i="14"/>
  <c r="A9" i="14"/>
  <c r="A81" i="14"/>
  <c r="A33" i="14"/>
  <c r="A35" i="14"/>
  <c r="A82" i="14"/>
  <c r="A37" i="14"/>
  <c r="A4" i="14"/>
  <c r="A46" i="14"/>
  <c r="A67" i="14"/>
  <c r="A53" i="14"/>
  <c r="A3" i="14"/>
  <c r="A74" i="14"/>
  <c r="A14" i="14"/>
  <c r="A77" i="14"/>
  <c r="A5" i="14"/>
  <c r="A43" i="14"/>
  <c r="A88" i="14"/>
  <c r="U78" i="24" l="1"/>
  <c r="U75" i="24" s="1"/>
  <c r="F84" i="24"/>
  <c r="O59" i="24"/>
  <c r="G69" i="27"/>
  <c r="O61" i="27"/>
  <c r="O80" i="27"/>
  <c r="N82" i="27"/>
  <c r="M82" i="27"/>
  <c r="E82" i="27"/>
  <c r="E88" i="27" s="1"/>
  <c r="E91" i="27" s="1"/>
  <c r="E92" i="27" s="1"/>
  <c r="O78" i="24"/>
  <c r="N80" i="24"/>
  <c r="O80" i="24" s="1"/>
  <c r="E82" i="24"/>
  <c r="E82" i="6"/>
  <c r="E88" i="6" s="1"/>
  <c r="E89" i="6" s="1"/>
  <c r="I9" i="18"/>
  <c r="O80" i="6"/>
  <c r="H20" i="18"/>
  <c r="H23" i="18"/>
  <c r="M82" i="6"/>
  <c r="O82" i="6" s="1"/>
  <c r="G69" i="28"/>
  <c r="O61" i="28"/>
  <c r="E82" i="28"/>
  <c r="E88" i="28" s="1"/>
  <c r="E91" i="28" s="1"/>
  <c r="E93" i="28" s="1"/>
  <c r="O80" i="28"/>
  <c r="M82" i="28"/>
  <c r="P80" i="28" s="1"/>
  <c r="N82" i="28"/>
  <c r="G80" i="24"/>
  <c r="G81" i="24" s="1"/>
  <c r="P73" i="24"/>
  <c r="P78" i="24"/>
  <c r="U80" i="6"/>
  <c r="U77" i="6" s="1"/>
  <c r="D20" i="18"/>
  <c r="L4" i="18"/>
  <c r="D22" i="18"/>
  <c r="O61" i="6"/>
  <c r="N10" i="18"/>
  <c r="F13" i="18" s="1"/>
  <c r="F18" i="18" s="1"/>
  <c r="Q38" i="18"/>
  <c r="F2" i="14"/>
  <c r="E61" i="20" s="1"/>
  <c r="E62" i="20" s="1"/>
  <c r="E76" i="22" s="1"/>
  <c r="H36" i="18"/>
  <c r="H39" i="18"/>
  <c r="D41" i="17"/>
  <c r="D42" i="17" s="1"/>
  <c r="H40" i="18"/>
  <c r="H38" i="18"/>
  <c r="H37" i="18"/>
  <c r="U77" i="28" l="1"/>
  <c r="D80" i="28" s="1"/>
  <c r="U77" i="27"/>
  <c r="D80" i="27" s="1"/>
  <c r="E84" i="27"/>
  <c r="P80" i="27"/>
  <c r="P75" i="27"/>
  <c r="O82" i="27"/>
  <c r="F86" i="6"/>
  <c r="F86" i="27"/>
  <c r="G82" i="27"/>
  <c r="G83" i="27" s="1"/>
  <c r="E84" i="28"/>
  <c r="E84" i="6"/>
  <c r="P75" i="6"/>
  <c r="P80" i="6"/>
  <c r="O82" i="28"/>
  <c r="P75" i="28"/>
  <c r="F86" i="28"/>
  <c r="G82" i="28"/>
  <c r="G83" i="28" s="1"/>
  <c r="G82" i="24"/>
  <c r="F83" i="24"/>
  <c r="G85" i="24" s="1"/>
  <c r="D78" i="24"/>
  <c r="G82" i="6"/>
  <c r="G83" i="6" s="1"/>
  <c r="F19" i="18"/>
  <c r="F22" i="18" s="1"/>
  <c r="D26" i="18"/>
  <c r="D41" i="18" s="1"/>
  <c r="D23" i="18"/>
  <c r="L10" i="18"/>
  <c r="L29" i="18"/>
  <c r="L9" i="18"/>
  <c r="L42" i="18"/>
  <c r="L8" i="18"/>
  <c r="F46" i="17"/>
  <c r="K47" i="17"/>
  <c r="B42" i="17" s="1"/>
  <c r="E47" i="17"/>
  <c r="E45" i="17"/>
  <c r="F47" i="17"/>
  <c r="K46" i="17"/>
  <c r="E44" i="17"/>
  <c r="A41" i="17"/>
  <c r="E46" i="17"/>
  <c r="B41" i="17"/>
  <c r="F44" i="17"/>
  <c r="K45" i="17"/>
  <c r="F45" i="17"/>
  <c r="F85" i="27" l="1"/>
  <c r="G87" i="27" s="1"/>
  <c r="F85" i="28"/>
  <c r="G87" i="28" s="1"/>
  <c r="G86" i="24"/>
  <c r="F20" i="18"/>
  <c r="I2" i="13"/>
  <c r="I3" i="13" s="1"/>
  <c r="D38" i="18"/>
  <c r="D36" i="18"/>
  <c r="D39" i="18"/>
  <c r="D40" i="18"/>
  <c r="D37" i="18"/>
  <c r="L30" i="18"/>
  <c r="L18" i="18"/>
  <c r="F23" i="18"/>
  <c r="F26" i="18"/>
  <c r="A42" i="17"/>
  <c r="G44" i="17"/>
  <c r="H27" i="18"/>
  <c r="H28" i="18" s="1"/>
  <c r="G47" i="17"/>
  <c r="G46" i="17"/>
  <c r="G45" i="17"/>
  <c r="G87" i="24" l="1"/>
  <c r="G84" i="27"/>
  <c r="G88" i="27" s="1"/>
  <c r="G91" i="27" s="1"/>
  <c r="G84" i="28"/>
  <c r="G88" i="28" s="1"/>
  <c r="D2" i="17"/>
  <c r="D3" i="17" s="1"/>
  <c r="F5" i="17" s="1"/>
  <c r="H2" i="19"/>
  <c r="H3" i="19" s="1"/>
  <c r="L22" i="18"/>
  <c r="L23" i="18" s="1"/>
  <c r="L20" i="18"/>
  <c r="L26" i="18" s="1"/>
  <c r="L41" i="18" s="1"/>
  <c r="K84" i="13"/>
  <c r="J33" i="13"/>
  <c r="J35" i="13"/>
  <c r="J87" i="13"/>
  <c r="K68" i="13"/>
  <c r="K29" i="13"/>
  <c r="J71" i="13"/>
  <c r="K26" i="13"/>
  <c r="K9" i="13"/>
  <c r="J9" i="13"/>
  <c r="K28" i="13"/>
  <c r="K77" i="13"/>
  <c r="K67" i="13"/>
  <c r="J31" i="13"/>
  <c r="K15" i="13"/>
  <c r="J70" i="13"/>
  <c r="K43" i="13"/>
  <c r="J81" i="13"/>
  <c r="K80" i="13"/>
  <c r="K23" i="13"/>
  <c r="K53" i="13"/>
  <c r="J29" i="13"/>
  <c r="J52" i="13"/>
  <c r="K45" i="13"/>
  <c r="J78" i="13"/>
  <c r="J4" i="13"/>
  <c r="J48" i="13"/>
  <c r="K75" i="13"/>
  <c r="K85" i="13"/>
  <c r="K74" i="13"/>
  <c r="J41" i="13"/>
  <c r="J6" i="13"/>
  <c r="K51" i="13"/>
  <c r="K36" i="13"/>
  <c r="K40" i="13"/>
  <c r="K56" i="13"/>
  <c r="J75" i="13"/>
  <c r="J49" i="13"/>
  <c r="J86" i="13"/>
  <c r="K8" i="13"/>
  <c r="K58" i="13"/>
  <c r="J25" i="13"/>
  <c r="J57" i="13"/>
  <c r="K55" i="13"/>
  <c r="J69" i="13"/>
  <c r="J15" i="13"/>
  <c r="J64" i="13"/>
  <c r="K57" i="13"/>
  <c r="K37" i="13"/>
  <c r="J44" i="13"/>
  <c r="J66" i="13"/>
  <c r="K14" i="13"/>
  <c r="J34" i="13"/>
  <c r="K21" i="13"/>
  <c r="K83" i="13"/>
  <c r="K86" i="13"/>
  <c r="J63" i="13"/>
  <c r="J54" i="13"/>
  <c r="J27" i="13"/>
  <c r="J42" i="13"/>
  <c r="K19" i="13"/>
  <c r="J18" i="13"/>
  <c r="J13" i="13"/>
  <c r="K71" i="13"/>
  <c r="K33" i="13"/>
  <c r="K63" i="13"/>
  <c r="J20" i="13"/>
  <c r="J17" i="13"/>
  <c r="K18" i="13"/>
  <c r="K10" i="13"/>
  <c r="J30" i="13"/>
  <c r="K13" i="13"/>
  <c r="J80" i="13"/>
  <c r="K82" i="13"/>
  <c r="J46" i="13"/>
  <c r="J10" i="13"/>
  <c r="J11" i="13"/>
  <c r="J21" i="13"/>
  <c r="K52" i="13"/>
  <c r="J28" i="13"/>
  <c r="J82" i="13"/>
  <c r="J36" i="13"/>
  <c r="K32" i="13"/>
  <c r="K59" i="13"/>
  <c r="J67" i="13"/>
  <c r="K44" i="13"/>
  <c r="J53" i="13"/>
  <c r="K17" i="13"/>
  <c r="K6" i="13"/>
  <c r="J55" i="13"/>
  <c r="K39" i="13"/>
  <c r="J23" i="13"/>
  <c r="J65" i="13"/>
  <c r="K76" i="13"/>
  <c r="J85" i="13"/>
  <c r="J7" i="13"/>
  <c r="J24" i="13"/>
  <c r="K49" i="13"/>
  <c r="J76" i="13"/>
  <c r="J59" i="13"/>
  <c r="J62" i="13"/>
  <c r="K4" i="13"/>
  <c r="K78" i="13"/>
  <c r="K7" i="13"/>
  <c r="J22" i="13"/>
  <c r="J51" i="13"/>
  <c r="K64" i="13"/>
  <c r="J74" i="13"/>
  <c r="K70" i="13"/>
  <c r="K81" i="13"/>
  <c r="J39" i="13"/>
  <c r="K72" i="13"/>
  <c r="J12" i="13"/>
  <c r="K54" i="13"/>
  <c r="K60" i="13"/>
  <c r="J58" i="13"/>
  <c r="J16" i="13"/>
  <c r="J79" i="13"/>
  <c r="K3" i="13"/>
  <c r="K42" i="13"/>
  <c r="K73" i="13"/>
  <c r="J26" i="13"/>
  <c r="K79" i="13"/>
  <c r="J32" i="13"/>
  <c r="K41" i="13"/>
  <c r="J8" i="13"/>
  <c r="J83" i="13"/>
  <c r="K38" i="13"/>
  <c r="K50" i="13"/>
  <c r="K5" i="13"/>
  <c r="J60" i="13"/>
  <c r="K48" i="13"/>
  <c r="K12" i="13"/>
  <c r="K20" i="13"/>
  <c r="J50" i="13"/>
  <c r="K69" i="13"/>
  <c r="K25" i="13"/>
  <c r="K34" i="13"/>
  <c r="K27" i="13"/>
  <c r="K11" i="13"/>
  <c r="K87" i="13"/>
  <c r="J3" i="13"/>
  <c r="K46" i="13"/>
  <c r="K31" i="13"/>
  <c r="K66" i="13"/>
  <c r="J40" i="13"/>
  <c r="J47" i="13"/>
  <c r="K61" i="13"/>
  <c r="J45" i="13"/>
  <c r="K65" i="13"/>
  <c r="K30" i="13"/>
  <c r="J19" i="13"/>
  <c r="J37" i="13"/>
  <c r="K16" i="13"/>
  <c r="J43" i="13"/>
  <c r="J73" i="13"/>
  <c r="J14" i="13"/>
  <c r="K47" i="13"/>
  <c r="K24" i="13"/>
  <c r="K35" i="13"/>
  <c r="J5" i="13"/>
  <c r="E87" i="13"/>
  <c r="G3" i="13" s="1"/>
  <c r="J56" i="13"/>
  <c r="J77" i="13"/>
  <c r="J68" i="13"/>
  <c r="K22" i="13"/>
  <c r="K62" i="13"/>
  <c r="J38" i="13"/>
  <c r="J84" i="13"/>
  <c r="J72" i="13"/>
  <c r="J61" i="13"/>
  <c r="G2" i="13"/>
  <c r="F36" i="18"/>
  <c r="F37" i="18"/>
  <c r="F40" i="18"/>
  <c r="D44" i="18" s="1"/>
  <c r="F38" i="18"/>
  <c r="F39" i="18"/>
  <c r="H42" i="18"/>
  <c r="G91" i="28" l="1"/>
  <c r="H11" i="15"/>
  <c r="H12" i="15" s="1"/>
  <c r="K7" i="17"/>
  <c r="E8" i="17"/>
  <c r="F8" i="17"/>
  <c r="F7" i="17"/>
  <c r="A2" i="17"/>
  <c r="K6" i="17"/>
  <c r="K8" i="17"/>
  <c r="B3" i="17" s="1"/>
  <c r="F6" i="17"/>
  <c r="E6" i="17"/>
  <c r="E7" i="17"/>
  <c r="E5" i="17"/>
  <c r="G5" i="17" s="1"/>
  <c r="A14" i="13"/>
  <c r="B14" i="13"/>
  <c r="A67" i="13"/>
  <c r="B67" i="13"/>
  <c r="B75" i="13"/>
  <c r="A75" i="13"/>
  <c r="D27" i="18"/>
  <c r="B77" i="13"/>
  <c r="A77" i="13"/>
  <c r="B73" i="13"/>
  <c r="A73" i="13"/>
  <c r="B32" i="13"/>
  <c r="A32" i="13"/>
  <c r="A58" i="13"/>
  <c r="B58" i="13"/>
  <c r="B74" i="13"/>
  <c r="A74" i="13"/>
  <c r="B59" i="13"/>
  <c r="A59" i="13"/>
  <c r="B23" i="13"/>
  <c r="A23" i="13"/>
  <c r="A10" i="13"/>
  <c r="B10" i="13"/>
  <c r="A17" i="13"/>
  <c r="B17" i="13"/>
  <c r="B42" i="13"/>
  <c r="A42" i="13"/>
  <c r="B87" i="13"/>
  <c r="A87" i="13"/>
  <c r="A34" i="13"/>
  <c r="B34" i="13"/>
  <c r="B56" i="13"/>
  <c r="A56" i="13"/>
  <c r="A46" i="13"/>
  <c r="B46" i="13"/>
  <c r="A20" i="13"/>
  <c r="B20" i="13"/>
  <c r="B27" i="13"/>
  <c r="A27" i="13"/>
  <c r="A66" i="13"/>
  <c r="B66" i="13"/>
  <c r="A57" i="13"/>
  <c r="B57" i="13"/>
  <c r="A48" i="13"/>
  <c r="B48" i="13"/>
  <c r="B35" i="13"/>
  <c r="A35" i="13"/>
  <c r="A62" i="13"/>
  <c r="B62" i="13"/>
  <c r="B47" i="13"/>
  <c r="A47" i="13"/>
  <c r="B40" i="13"/>
  <c r="A40" i="13"/>
  <c r="A26" i="13"/>
  <c r="B26" i="13"/>
  <c r="A51" i="13"/>
  <c r="B51" i="13"/>
  <c r="B55" i="13"/>
  <c r="A55" i="13"/>
  <c r="A36" i="13"/>
  <c r="B36" i="13"/>
  <c r="B54" i="13"/>
  <c r="A54" i="13"/>
  <c r="B44" i="13"/>
  <c r="A44" i="13"/>
  <c r="B25" i="13"/>
  <c r="A25" i="13"/>
  <c r="A4" i="13"/>
  <c r="B4" i="13"/>
  <c r="A81" i="13"/>
  <c r="B81" i="13"/>
  <c r="A9" i="13"/>
  <c r="B9" i="13"/>
  <c r="A33" i="13"/>
  <c r="B33" i="13"/>
  <c r="B45" i="13"/>
  <c r="A45" i="13"/>
  <c r="A11" i="13"/>
  <c r="B11" i="13"/>
  <c r="A61" i="13"/>
  <c r="B61" i="13"/>
  <c r="B43" i="13"/>
  <c r="A43" i="13"/>
  <c r="B60" i="13"/>
  <c r="A60" i="13"/>
  <c r="B76" i="13"/>
  <c r="A76" i="13"/>
  <c r="A72" i="13"/>
  <c r="B72" i="13"/>
  <c r="A84" i="13"/>
  <c r="B84" i="13"/>
  <c r="A5" i="13"/>
  <c r="B5" i="13"/>
  <c r="B37" i="13"/>
  <c r="A37" i="13"/>
  <c r="A12" i="13"/>
  <c r="B12" i="13"/>
  <c r="A22" i="13"/>
  <c r="B22" i="13"/>
  <c r="A24" i="13"/>
  <c r="B24" i="13"/>
  <c r="B82" i="13"/>
  <c r="A82" i="13"/>
  <c r="B80" i="13"/>
  <c r="A80" i="13"/>
  <c r="B63" i="13"/>
  <c r="A63" i="13"/>
  <c r="A78" i="13"/>
  <c r="B78" i="13"/>
  <c r="A65" i="13"/>
  <c r="B65" i="13"/>
  <c r="B69" i="13"/>
  <c r="A69" i="13"/>
  <c r="B38" i="13"/>
  <c r="A38" i="13"/>
  <c r="A19" i="13"/>
  <c r="B19" i="13"/>
  <c r="A7" i="13"/>
  <c r="B7" i="13"/>
  <c r="A28" i="13"/>
  <c r="B28" i="13"/>
  <c r="B6" i="13"/>
  <c r="A6" i="13"/>
  <c r="B70" i="13"/>
  <c r="A70" i="13"/>
  <c r="L38" i="18"/>
  <c r="L39" i="18"/>
  <c r="L40" i="18"/>
  <c r="L37" i="18"/>
  <c r="L36" i="18"/>
  <c r="A68" i="13"/>
  <c r="B68" i="13"/>
  <c r="A16" i="13"/>
  <c r="B16" i="13"/>
  <c r="B50" i="13"/>
  <c r="A50" i="13"/>
  <c r="B53" i="13"/>
  <c r="A53" i="13"/>
  <c r="B30" i="13"/>
  <c r="A30" i="13"/>
  <c r="B13" i="13"/>
  <c r="A13" i="13"/>
  <c r="A86" i="13"/>
  <c r="B86" i="13"/>
  <c r="A41" i="13"/>
  <c r="B41" i="13"/>
  <c r="B52" i="13"/>
  <c r="A52" i="13"/>
  <c r="B71" i="13"/>
  <c r="A71" i="13"/>
  <c r="B83" i="13"/>
  <c r="A83" i="13"/>
  <c r="B39" i="13"/>
  <c r="A39" i="13"/>
  <c r="B85" i="13"/>
  <c r="A85" i="13"/>
  <c r="B64" i="13"/>
  <c r="A64" i="13"/>
  <c r="A3" i="13"/>
  <c r="B3" i="13"/>
  <c r="A8" i="13"/>
  <c r="B8" i="13"/>
  <c r="A79" i="13"/>
  <c r="B79" i="13"/>
  <c r="B21" i="13"/>
  <c r="A21" i="13"/>
  <c r="B18" i="13"/>
  <c r="A18" i="13"/>
  <c r="B15" i="13"/>
  <c r="A15" i="13"/>
  <c r="A49" i="13"/>
  <c r="B49" i="13"/>
  <c r="B29" i="13"/>
  <c r="A29" i="13"/>
  <c r="B31" i="13"/>
  <c r="A31" i="13"/>
  <c r="I43" i="19"/>
  <c r="J29" i="19"/>
  <c r="I8" i="19"/>
  <c r="J9" i="19"/>
  <c r="J20" i="19"/>
  <c r="J34" i="19"/>
  <c r="I11" i="19"/>
  <c r="J38" i="19"/>
  <c r="I37" i="19"/>
  <c r="J4" i="19"/>
  <c r="I41" i="19"/>
  <c r="I10" i="19"/>
  <c r="I5" i="19"/>
  <c r="I33" i="19"/>
  <c r="J18" i="19"/>
  <c r="I14" i="19"/>
  <c r="I36" i="19"/>
  <c r="J35" i="19"/>
  <c r="J32" i="19"/>
  <c r="I24" i="19"/>
  <c r="I16" i="19"/>
  <c r="I18" i="19"/>
  <c r="J33" i="19"/>
  <c r="I7" i="19"/>
  <c r="J31" i="19"/>
  <c r="J12" i="19"/>
  <c r="J19" i="19"/>
  <c r="I23" i="19"/>
  <c r="J25" i="19"/>
  <c r="I6" i="19"/>
  <c r="J28" i="19"/>
  <c r="I13" i="19"/>
  <c r="I28" i="19"/>
  <c r="J23" i="19"/>
  <c r="I21" i="19"/>
  <c r="J8" i="19"/>
  <c r="J36" i="19"/>
  <c r="J11" i="19"/>
  <c r="J43" i="19"/>
  <c r="I25" i="19"/>
  <c r="I44" i="19"/>
  <c r="I9" i="19"/>
  <c r="I22" i="19"/>
  <c r="J13" i="19"/>
  <c r="J7" i="19"/>
  <c r="I4" i="19"/>
  <c r="I20" i="19"/>
  <c r="J5" i="19"/>
  <c r="J30" i="19"/>
  <c r="J37" i="19"/>
  <c r="I19" i="19"/>
  <c r="J21" i="19"/>
  <c r="I40" i="19"/>
  <c r="I26" i="19"/>
  <c r="I17" i="19"/>
  <c r="J6" i="19"/>
  <c r="I12" i="19"/>
  <c r="I31" i="19"/>
  <c r="J27" i="19"/>
  <c r="J22" i="19"/>
  <c r="I38" i="19"/>
  <c r="J14" i="19"/>
  <c r="I42" i="19"/>
  <c r="I39" i="19"/>
  <c r="J26" i="19"/>
  <c r="I29" i="19"/>
  <c r="J10" i="19"/>
  <c r="J39" i="19"/>
  <c r="J40" i="19"/>
  <c r="I32" i="19"/>
  <c r="J16" i="19"/>
  <c r="I15" i="19"/>
  <c r="J42" i="19"/>
  <c r="I35" i="19"/>
  <c r="I30" i="19"/>
  <c r="J44" i="19"/>
  <c r="J15" i="19"/>
  <c r="F3" i="19"/>
  <c r="I27" i="19"/>
  <c r="J3" i="19"/>
  <c r="J17" i="19"/>
  <c r="I3" i="19"/>
  <c r="J41" i="19"/>
  <c r="I34" i="19"/>
  <c r="J24" i="19"/>
  <c r="F12" i="15" l="1"/>
  <c r="J13" i="15"/>
  <c r="J14" i="15"/>
  <c r="J15" i="15"/>
  <c r="J12" i="15"/>
  <c r="I15" i="15"/>
  <c r="I12" i="15"/>
  <c r="I13" i="15"/>
  <c r="I14" i="15"/>
  <c r="A29" i="19"/>
  <c r="G8" i="17"/>
  <c r="A3" i="17"/>
  <c r="G7" i="17"/>
  <c r="G6" i="17"/>
  <c r="A35" i="19"/>
  <c r="A19" i="19"/>
  <c r="A32" i="19"/>
  <c r="A31" i="19"/>
  <c r="A27" i="19"/>
  <c r="A34" i="19"/>
  <c r="A10" i="19"/>
  <c r="A23" i="19"/>
  <c r="A4" i="19"/>
  <c r="A12" i="19"/>
  <c r="A38" i="19"/>
  <c r="A30" i="19"/>
  <c r="A3" i="19"/>
  <c r="F2" i="19" s="1"/>
  <c r="L27" i="18" s="1"/>
  <c r="L28" i="18" s="1"/>
  <c r="L31" i="18" s="1"/>
  <c r="A9" i="19"/>
  <c r="A42" i="19"/>
  <c r="A17" i="19"/>
  <c r="A20" i="19"/>
  <c r="A11" i="19"/>
  <c r="A26" i="19"/>
  <c r="A6" i="19"/>
  <c r="A5" i="19"/>
  <c r="A18" i="19"/>
  <c r="A33" i="19"/>
  <c r="D28" i="18"/>
  <c r="I22" i="17"/>
  <c r="D15" i="17"/>
  <c r="I24" i="18"/>
  <c r="I25" i="18" s="1"/>
  <c r="A40" i="19"/>
  <c r="A16" i="19"/>
  <c r="A24" i="19"/>
  <c r="A22" i="19"/>
  <c r="A21" i="19"/>
  <c r="A41" i="19"/>
  <c r="A8" i="19"/>
  <c r="A44" i="19"/>
  <c r="A28" i="19"/>
  <c r="A36" i="19"/>
  <c r="A37" i="19"/>
  <c r="A43" i="19"/>
  <c r="A15" i="19"/>
  <c r="A39" i="19"/>
  <c r="A25" i="19"/>
  <c r="A13" i="19"/>
  <c r="A7" i="19"/>
  <c r="A14" i="19"/>
  <c r="B2" i="17" l="1"/>
  <c r="G89" i="24" s="1"/>
  <c r="G88" i="24" s="1"/>
  <c r="I33" i="18"/>
  <c r="H25" i="17"/>
  <c r="G25" i="17" s="1"/>
  <c r="H24" i="17"/>
  <c r="G24" i="17" s="1"/>
  <c r="H26" i="17"/>
  <c r="G26" i="17" s="1"/>
  <c r="G23" i="17"/>
  <c r="D31" i="18"/>
  <c r="H33" i="18"/>
  <c r="D42" i="18"/>
  <c r="F27" i="18" l="1"/>
  <c r="F28" i="18" s="1"/>
  <c r="F42" i="18" s="1"/>
  <c r="I23" i="18"/>
  <c r="O33" i="18" s="1"/>
  <c r="O34" i="18" s="1"/>
  <c r="O35" i="18" s="1"/>
  <c r="F33" i="18" l="1"/>
  <c r="G90" i="24"/>
  <c r="I22" i="18"/>
  <c r="D13" i="17" s="1"/>
  <c r="D14" i="17" s="1"/>
  <c r="B13" i="17" s="1"/>
  <c r="I20" i="18"/>
  <c r="I26" i="18" s="1"/>
  <c r="I39" i="18" s="1"/>
  <c r="I19" i="18" l="1"/>
  <c r="N34" i="18" s="1"/>
  <c r="D31" i="17"/>
  <c r="D32" i="17" s="1"/>
  <c r="B31" i="17" s="1"/>
  <c r="Q40" i="18"/>
  <c r="N39" i="18"/>
  <c r="N23" i="18"/>
  <c r="N33" i="18"/>
  <c r="I21" i="18"/>
  <c r="P33" i="18"/>
  <c r="O23" i="18"/>
  <c r="A13" i="17"/>
  <c r="D26" i="17"/>
  <c r="F16" i="17"/>
  <c r="E17" i="17"/>
  <c r="E19" i="17"/>
  <c r="D25" i="17"/>
  <c r="K17" i="17"/>
  <c r="K18" i="17"/>
  <c r="D24" i="17"/>
  <c r="K19" i="17"/>
  <c r="B14" i="17" s="1"/>
  <c r="F18" i="17"/>
  <c r="E18" i="17"/>
  <c r="E16" i="17"/>
  <c r="F17" i="17"/>
  <c r="F19" i="17"/>
  <c r="E35" i="17" l="1"/>
  <c r="N24" i="18"/>
  <c r="N25" i="18" s="1"/>
  <c r="N43" i="18" s="1"/>
  <c r="N19" i="18"/>
  <c r="N40" i="18"/>
  <c r="N42" i="18" s="1"/>
  <c r="K36" i="17"/>
  <c r="P34" i="18"/>
  <c r="P35" i="18" s="1"/>
  <c r="P18" i="18"/>
  <c r="O24" i="18"/>
  <c r="O25" i="18" s="1"/>
  <c r="A31" i="17"/>
  <c r="F37" i="17"/>
  <c r="F35" i="17"/>
  <c r="E37" i="17"/>
  <c r="E34" i="17"/>
  <c r="K35" i="17"/>
  <c r="F36" i="17"/>
  <c r="E36" i="17"/>
  <c r="K37" i="17"/>
  <c r="B32" i="17" s="1"/>
  <c r="I27" i="18" s="1"/>
  <c r="I28" i="18" s="1"/>
  <c r="I31" i="18" s="1"/>
  <c r="F34" i="17"/>
  <c r="N35" i="18"/>
  <c r="A14" i="17"/>
  <c r="G16" i="17"/>
  <c r="G19" i="17"/>
  <c r="G18" i="17"/>
  <c r="G17" i="17"/>
  <c r="G35" i="17" l="1"/>
  <c r="N36" i="18"/>
  <c r="N37" i="18" s="1"/>
  <c r="O36" i="18"/>
  <c r="O37" i="18" s="1"/>
  <c r="G36" i="17"/>
  <c r="G34" i="17"/>
  <c r="G37" i="17"/>
  <c r="I42" i="18"/>
  <c r="A32" i="17"/>
  <c r="P36" i="18"/>
  <c r="Q36" i="18" s="1"/>
  <c r="Q39" i="18" s="1"/>
  <c r="Q41" i="18" s="1"/>
  <c r="Q42" i="18" s="1"/>
  <c r="I17" i="18" s="1"/>
  <c r="O26" i="18" s="1"/>
  <c r="I15" i="18" s="1"/>
  <c r="O28" i="18" l="1"/>
  <c r="I40" i="18"/>
  <c r="I38" i="18"/>
  <c r="N26" i="18"/>
  <c r="I13" i="18" l="1"/>
  <c r="N27" i="18"/>
  <c r="N28" i="18" l="1"/>
  <c r="O30" i="18"/>
  <c r="I37" i="18"/>
  <c r="I36" i="18"/>
  <c r="I18" i="18"/>
  <c r="N18" i="18" l="1"/>
  <c r="M23" i="18" s="1"/>
  <c r="M22" i="18"/>
  <c r="N44" i="18" s="1"/>
  <c r="K82" i="6" l="1"/>
  <c r="K79" i="6" s="1"/>
  <c r="K88" i="6" l="1"/>
  <c r="H31" i="15" s="1"/>
  <c r="H32" i="15" s="1"/>
  <c r="J32" i="15" l="1"/>
  <c r="F32" i="15"/>
  <c r="I33" i="15"/>
  <c r="J33" i="15"/>
  <c r="I35" i="15"/>
  <c r="J35" i="15"/>
  <c r="J34" i="15"/>
  <c r="I32" i="15"/>
  <c r="I34" i="15"/>
  <c r="K89" i="6"/>
  <c r="A35" i="15" l="1"/>
  <c r="A32" i="15"/>
  <c r="F31" i="15" s="1"/>
  <c r="F33" i="15" s="1"/>
  <c r="A33" i="15"/>
  <c r="A34" i="15"/>
  <c r="F35" i="15" l="1"/>
  <c r="F34" i="15"/>
  <c r="F36" i="15" l="1"/>
  <c r="H76" i="22"/>
  <c r="I76" i="22" s="1"/>
  <c r="J91" i="6"/>
  <c r="K91" i="6" s="1"/>
  <c r="H29" i="18" s="1"/>
  <c r="H34" i="18" s="1"/>
  <c r="J93" i="27"/>
  <c r="K93" i="27" s="1"/>
  <c r="J89" i="24"/>
  <c r="K89" i="24" s="1"/>
  <c r="H31" i="18"/>
  <c r="K80" i="24" l="1"/>
  <c r="K83" i="24" s="1"/>
  <c r="K86" i="24" l="1"/>
  <c r="K87" i="24" s="1"/>
  <c r="G84" i="6"/>
  <c r="F85" i="6" l="1"/>
  <c r="G87" i="6" s="1"/>
  <c r="G88" i="6" s="1"/>
  <c r="G89" i="6" l="1"/>
  <c r="H2" i="15"/>
  <c r="H3" i="15" s="1"/>
  <c r="I3" i="15" l="1"/>
  <c r="J3" i="15"/>
  <c r="F3" i="15"/>
  <c r="I4" i="15"/>
  <c r="J5" i="15"/>
  <c r="J4" i="15"/>
  <c r="I6" i="15"/>
  <c r="I5" i="15"/>
  <c r="J6" i="15"/>
  <c r="A13" i="15" l="1"/>
  <c r="A15" i="15"/>
  <c r="A12" i="15"/>
  <c r="F11" i="15" s="1"/>
  <c r="A14" i="15"/>
  <c r="A5" i="15"/>
  <c r="A3" i="15"/>
  <c r="F2" i="15" s="1"/>
  <c r="A6" i="15"/>
  <c r="A4" i="15"/>
  <c r="F13" i="15" l="1"/>
  <c r="F4" i="15"/>
  <c r="F5" i="15"/>
  <c r="F6" i="15"/>
  <c r="F15" i="15" l="1"/>
  <c r="F14" i="15"/>
  <c r="F7" i="15"/>
  <c r="G90" i="6" s="1"/>
  <c r="G91" i="6" l="1"/>
  <c r="F16" i="15"/>
  <c r="G92" i="28" s="1"/>
  <c r="G92" i="27" l="1"/>
  <c r="G93" i="27" s="1"/>
  <c r="G94" i="27" s="1"/>
  <c r="E74" i="22"/>
  <c r="E75" i="22" s="1"/>
  <c r="E77" i="22" s="1"/>
  <c r="F29" i="18"/>
  <c r="F34" i="18" s="1"/>
  <c r="G93" i="28"/>
  <c r="F31" i="18" l="1"/>
  <c r="G94" i="28"/>
</calcChain>
</file>

<file path=xl/comments1.xml><?xml version="1.0" encoding="utf-8"?>
<comments xmlns="http://schemas.openxmlformats.org/spreadsheetml/2006/main">
  <authors>
    <author>Oscar Cardona</author>
  </authors>
  <commentList>
    <comment ref="G16" authorId="0" shapeId="0">
      <text>
        <r>
          <rPr>
            <b/>
            <sz val="9"/>
            <color indexed="81"/>
            <rFont val="Tahoma"/>
            <family val="2"/>
          </rPr>
          <t>Art.1º DR 1809 de 1989: “para efectos de calcular el porcentaje fijo de retención en la fuente sobre salarios y demás pagos laborales, cuando el agente retenedor opte por el procedimiento 2 de retención establecido en el artículo 386 del Estatuto T ributarlo, se deberá aplicar la tabla correspondiente al año gravable en el cual debe efectuarse la retención.”</t>
        </r>
      </text>
    </comment>
    <comment ref="F50" authorId="0" shapeId="0">
      <text>
        <r>
          <rPr>
            <b/>
            <sz val="9"/>
            <color indexed="81"/>
            <rFont val="Tahoma"/>
            <family val="2"/>
          </rPr>
          <t>Tenga en cuenta las limitaciones contempladas para los profesionales independientes y/o constructores según el caso</t>
        </r>
        <r>
          <rPr>
            <sz val="9"/>
            <color indexed="81"/>
            <rFont val="Tahoma"/>
            <family val="2"/>
          </rPr>
          <t xml:space="preserve">
</t>
        </r>
      </text>
    </comment>
    <comment ref="F51" authorId="0" shapeId="0">
      <text>
        <r>
          <rPr>
            <b/>
            <sz val="9"/>
            <color indexed="81"/>
            <rFont val="Tahoma"/>
            <family val="2"/>
          </rPr>
          <t>La combinación de aportes voluntarios y obligatorios a fondos de pensiones  + cuentas AFC no pueden exceder de 3.800 UVT anuales</t>
        </r>
      </text>
    </comment>
    <comment ref="F52" authorId="0" shapeId="0">
      <text>
        <r>
          <rPr>
            <b/>
            <sz val="9"/>
            <color indexed="81"/>
            <rFont val="Tahoma"/>
            <family val="2"/>
          </rPr>
          <t>La combinación de aportes voluntarios y obligatorios a fondos de pensiones  + cuentas AFC no pueden exceder de 3.800 UVT anuales</t>
        </r>
      </text>
    </comment>
    <comment ref="N52" authorId="0" shapeId="0">
      <text>
        <r>
          <rPr>
            <sz val="9"/>
            <color indexed="81"/>
            <rFont val="Tahoma"/>
            <family val="2"/>
          </rPr>
          <t>APORTE MÁXIMO PERMITIDO (ENTRE EL 30% DEL ING.LABORAL Y DE 3.800 UVT ANUALES</t>
        </r>
      </text>
    </comment>
    <comment ref="N53" authorId="0" shapeId="0">
      <text>
        <r>
          <rPr>
            <b/>
            <sz val="9"/>
            <color indexed="81"/>
            <rFont val="Tahoma"/>
            <family val="2"/>
          </rPr>
          <t>Aporte máximo PARA ASALARIADOS permitido para los fondos de pensiones sobre 25 smlmv</t>
        </r>
      </text>
    </comment>
    <comment ref="O53" authorId="0" shapeId="0">
      <text>
        <r>
          <rPr>
            <b/>
            <sz val="9"/>
            <color indexed="81"/>
            <rFont val="Tahoma"/>
            <family val="2"/>
          </rPr>
          <t>Aporte máximo PARA TRABAJADORES INDEPENDIENTES permitido para los fondos de pensiones sobre 25 smlmv</t>
        </r>
        <r>
          <rPr>
            <sz val="9"/>
            <color indexed="81"/>
            <rFont val="Tahoma"/>
            <family val="2"/>
          </rPr>
          <t xml:space="preserve">
</t>
        </r>
      </text>
    </comment>
    <comment ref="N54" authorId="0" shapeId="0">
      <text>
        <r>
          <rPr>
            <b/>
            <sz val="9"/>
            <color indexed="81"/>
            <rFont val="Tahoma"/>
            <family val="2"/>
          </rPr>
          <t>Oscar Cardona:</t>
        </r>
        <r>
          <rPr>
            <sz val="9"/>
            <color indexed="81"/>
            <rFont val="Tahoma"/>
            <family val="2"/>
          </rPr>
          <t xml:space="preserve">
INGRESO ANUAL PROYECTADO, INCLUYENDO PRIMAS DE SERVICIO</t>
        </r>
      </text>
    </comment>
    <comment ref="N59" authorId="0" shapeId="0">
      <text>
        <r>
          <rPr>
            <b/>
            <sz val="9"/>
            <color indexed="81"/>
            <rFont val="Tahoma"/>
            <family val="2"/>
          </rPr>
          <t>Renta exenta máxima del 30% del ingreso laboral</t>
        </r>
      </text>
    </comment>
    <comment ref="O59" authorId="0" shapeId="0">
      <text>
        <r>
          <rPr>
            <b/>
            <sz val="9"/>
            <color indexed="81"/>
            <rFont val="Tahoma"/>
            <family val="2"/>
          </rPr>
          <t>Renta exenta máxima permitida</t>
        </r>
      </text>
    </comment>
    <comment ref="O61" authorId="0" shapeId="0">
      <text>
        <r>
          <rPr>
            <b/>
            <sz val="9"/>
            <color indexed="81"/>
            <rFont val="Tahoma"/>
            <family val="2"/>
          </rPr>
          <t>Sumatoria de aportes obligatorios + voluntarios</t>
        </r>
        <r>
          <rPr>
            <sz val="9"/>
            <color indexed="81"/>
            <rFont val="Tahoma"/>
            <family val="2"/>
          </rPr>
          <t xml:space="preserve">
</t>
        </r>
      </text>
    </comment>
    <comment ref="O62" authorId="0" shapeId="0">
      <text>
        <r>
          <rPr>
            <b/>
            <sz val="9"/>
            <color indexed="81"/>
            <rFont val="Tahoma"/>
            <family val="2"/>
          </rPr>
          <t>Sumatoria de aportes obligatorios + voluntarios</t>
        </r>
        <r>
          <rPr>
            <sz val="9"/>
            <color indexed="81"/>
            <rFont val="Tahoma"/>
            <family val="2"/>
          </rPr>
          <t xml:space="preserve">
</t>
        </r>
      </text>
    </comment>
    <comment ref="C63" authorId="0" shapeId="0">
      <text>
        <r>
          <rPr>
            <b/>
            <sz val="9"/>
            <color indexed="81"/>
            <rFont val="Tahoma"/>
            <family val="2"/>
          </rPr>
          <t>Escriba el valor de los aportes obligatorios a por concepto de salud en caso que el valor calculado sea diferente al valor real</t>
        </r>
        <r>
          <rPr>
            <sz val="9"/>
            <color indexed="81"/>
            <rFont val="Tahoma"/>
            <family val="2"/>
          </rPr>
          <t xml:space="preserve">
</t>
        </r>
      </text>
    </comment>
    <comment ref="G63" authorId="0" shapeId="0">
      <text>
        <r>
          <rPr>
            <b/>
            <sz val="9"/>
            <color indexed="81"/>
            <rFont val="Tahoma"/>
            <family val="2"/>
          </rPr>
          <t>Escriba el valor real del aporte cuando el valor calculado en los renglones 26 y 27 no coincida con el aporte realizado por el empleado.
Este valor debe ser negativo.</t>
        </r>
      </text>
    </comment>
    <comment ref="N64" authorId="0" shapeId="0">
      <text>
        <r>
          <rPr>
            <b/>
            <sz val="9"/>
            <color indexed="81"/>
            <rFont val="Tahoma"/>
            <family val="2"/>
          </rPr>
          <t>Renta exenta máxima de 3.800 UVT</t>
        </r>
      </text>
    </comment>
    <comment ref="O64" authorId="0" shapeId="0">
      <text>
        <r>
          <rPr>
            <b/>
            <sz val="9"/>
            <color indexed="81"/>
            <rFont val="Tahoma"/>
            <family val="2"/>
          </rPr>
          <t>Aporte voluntario + cta AFC que no excede de 3.800 UVT</t>
        </r>
        <r>
          <rPr>
            <sz val="9"/>
            <color indexed="81"/>
            <rFont val="Tahoma"/>
            <family val="2"/>
          </rPr>
          <t xml:space="preserve">
</t>
        </r>
      </text>
    </comment>
    <comment ref="N65" authorId="0" shapeId="0">
      <text>
        <r>
          <rPr>
            <b/>
            <sz val="9"/>
            <color indexed="81"/>
            <rFont val="Tahoma"/>
            <family val="2"/>
          </rPr>
          <t>Renta exenta máxima de 3.800 UVT</t>
        </r>
      </text>
    </comment>
    <comment ref="O65" authorId="0" shapeId="0">
      <text>
        <r>
          <rPr>
            <b/>
            <sz val="9"/>
            <color indexed="81"/>
            <rFont val="Tahoma"/>
            <family val="2"/>
          </rPr>
          <t>Aporte voluntario + cta AFC que no excede de 3.800 UVT</t>
        </r>
        <r>
          <rPr>
            <sz val="9"/>
            <color indexed="81"/>
            <rFont val="Tahoma"/>
            <family val="2"/>
          </rPr>
          <t xml:space="preserve">
</t>
        </r>
      </text>
    </comment>
    <comment ref="C66" authorId="0" shapeId="0">
      <text>
        <r>
          <rPr>
            <b/>
            <sz val="9"/>
            <color indexed="81"/>
            <rFont val="Tahoma"/>
            <family val="2"/>
          </rPr>
          <t>Escriba el valor de los aportes obligatorios a fondos de pensiones en caso que el valor calculado sea diferente al valor real</t>
        </r>
      </text>
    </comment>
    <comment ref="G66" authorId="0" shapeId="0">
      <text>
        <r>
          <rPr>
            <b/>
            <sz val="9"/>
            <color indexed="81"/>
            <rFont val="Tahoma"/>
            <family val="2"/>
          </rPr>
          <t>Escriba el valor real del aporte cuando el valor calculado en el renglón 29 no coincida con el aporte realizado por el empleado. Este valor debe ser negativo</t>
        </r>
      </text>
    </comment>
    <comment ref="C68" authorId="0" shapeId="0">
      <text>
        <r>
          <rPr>
            <b/>
            <sz val="9"/>
            <color indexed="81"/>
            <rFont val="Tahoma"/>
            <family val="2"/>
          </rPr>
          <t>Escriba el valor de los aportes obligatorios de ARL en caso que el valor calculado sea diferente al valor real</t>
        </r>
        <r>
          <rPr>
            <sz val="9"/>
            <color indexed="81"/>
            <rFont val="Tahoma"/>
            <family val="2"/>
          </rPr>
          <t xml:space="preserve">
</t>
        </r>
      </text>
    </comment>
    <comment ref="G73" authorId="0" shapeId="0">
      <text>
        <r>
          <rPr>
            <sz val="9"/>
            <color indexed="81"/>
            <rFont val="Tahoma"/>
            <family val="2"/>
          </rPr>
          <t>Escriba el valor real del concepto descrito</t>
        </r>
      </text>
    </comment>
    <comment ref="G80" authorId="0" shapeId="0">
      <text>
        <r>
          <rPr>
            <b/>
            <sz val="9"/>
            <color indexed="81"/>
            <rFont val="Tahoma"/>
            <family val="2"/>
          </rPr>
          <t>MÁXIMO EL 30% DEL INGRESO TRIBUTARIO O 3.800 UVT POR AÑO.
En atención a los artículos 126-1 y 126-4 E.T. este renglón considerara que la renta exenta pueden alcanzar un valor máximo en el mes equivalente a 3.800 UVT. Nuestra posición en éste sentido es que el contribuyente puede realizar el aporte máximo en un solo mes o puede hacerlo en los diferentes meses del año.
Por lo anterior, el usuario debe tener en cuenta que estos aportes pueden alcanzar el valor máximo que corresponda a 3.800, razón por la cual le corresponde analizar cada situación particular con el fin de establecer el límite mensual que utilizará en esta casilla para aquellos casos en que el aporte máximo no se haga en un solo mes si no en los diferentes meses del año.</t>
        </r>
      </text>
    </comment>
    <comment ref="M80" authorId="0" shapeId="0">
      <text>
        <r>
          <rPr>
            <sz val="9"/>
            <color indexed="81"/>
            <rFont val="Tahoma"/>
            <family val="2"/>
          </rPr>
          <t>MÁXIMO EL 30% DEL INGRESO TRIBUTARIO O 3.800 UVT POR AÑO</t>
        </r>
      </text>
    </comment>
    <comment ref="O80" authorId="0" shapeId="0">
      <text>
        <r>
          <rPr>
            <b/>
            <sz val="9"/>
            <color indexed="81"/>
            <rFont val="Tahoma"/>
            <family val="2"/>
          </rPr>
          <t xml:space="preserve">Aporte voluntario + cta AFC máximo permitido en la optimización del ahorro </t>
        </r>
        <r>
          <rPr>
            <sz val="9"/>
            <color indexed="81"/>
            <rFont val="Tahoma"/>
            <family val="2"/>
          </rPr>
          <t xml:space="preserve">
</t>
        </r>
      </text>
    </comment>
    <comment ref="G90" authorId="0" shapeId="0">
      <text>
        <r>
          <rPr>
            <sz val="9"/>
            <color indexed="81"/>
            <rFont val="Tahoma"/>
            <family val="2"/>
          </rPr>
          <t>RET.FTE.POR EN SISTEMA ORDINARIO EN UVT</t>
        </r>
      </text>
    </comment>
    <comment ref="E91" authorId="0" shapeId="0">
      <text>
        <r>
          <rPr>
            <sz val="9"/>
            <color indexed="81"/>
            <rFont val="Tahoma"/>
            <family val="2"/>
          </rPr>
          <t>RET.FTE.POR EN SISTEMA IMAN EN PESOS</t>
        </r>
      </text>
    </comment>
    <comment ref="G91" authorId="0" shapeId="0">
      <text>
        <r>
          <rPr>
            <sz val="9"/>
            <color indexed="81"/>
            <rFont val="Tahoma"/>
            <family val="2"/>
          </rPr>
          <t>% RET.FTE. APLICABLE DURANTE EL SEMESTRE SIGUIENTE A LOS MESES DE JUNIO Y DICIEMBRE</t>
        </r>
      </text>
    </comment>
    <comment ref="J91" authorId="0" shapeId="0">
      <text>
        <r>
          <rPr>
            <sz val="9"/>
            <color indexed="81"/>
            <rFont val="Tahoma"/>
            <family val="2"/>
          </rPr>
          <t>RET.FTE.POR EN SISTEMA ORDINARIO EN UVT</t>
        </r>
      </text>
    </comment>
    <comment ref="K91" authorId="0" shapeId="0">
      <text>
        <r>
          <rPr>
            <sz val="9"/>
            <color indexed="81"/>
            <rFont val="Tahoma"/>
            <family val="2"/>
          </rPr>
          <t>RET.FTE.POR EN SISTEMA ORDINARIO EN PESOS</t>
        </r>
      </text>
    </comment>
  </commentList>
</comments>
</file>

<file path=xl/comments2.xml><?xml version="1.0" encoding="utf-8"?>
<comments xmlns="http://schemas.openxmlformats.org/spreadsheetml/2006/main">
  <authors>
    <author>Oscar Cardona</author>
  </authors>
  <commentList>
    <comment ref="A48" authorId="0" shapeId="0">
      <text>
        <r>
          <rPr>
            <b/>
            <sz val="9"/>
            <color indexed="81"/>
            <rFont val="Tahoma"/>
            <family val="2"/>
          </rPr>
          <t>Escriba el valor de los aportes obligatorios a fondos de pensiones en caso que el valor calculado sea diferente al valor real</t>
        </r>
      </text>
    </comment>
    <comment ref="E48" authorId="0" shapeId="0">
      <text>
        <r>
          <rPr>
            <sz val="9"/>
            <color indexed="81"/>
            <rFont val="Tahoma"/>
            <family val="2"/>
          </rPr>
          <t>Escriba el valor real del aporte cuando el valor calculado en la casilla "E44" no coincida con el aporte realizado por el empleado.
Este valor debe ser negativo.</t>
        </r>
      </text>
    </comment>
    <comment ref="A50" authorId="0" shapeId="0">
      <text>
        <r>
          <rPr>
            <b/>
            <sz val="9"/>
            <color indexed="81"/>
            <rFont val="Tahoma"/>
            <family val="2"/>
          </rPr>
          <t>Escriba el valor de los aportes obligatorios de ARL en caso que el valor calculado sea diferente al valor real</t>
        </r>
        <r>
          <rPr>
            <sz val="9"/>
            <color indexed="81"/>
            <rFont val="Tahoma"/>
            <family val="2"/>
          </rPr>
          <t xml:space="preserve">
</t>
        </r>
      </text>
    </comment>
    <comment ref="E50" authorId="0" shapeId="0">
      <text>
        <r>
          <rPr>
            <sz val="9"/>
            <color indexed="81"/>
            <rFont val="Tahoma"/>
            <family val="2"/>
          </rPr>
          <t>Este valor debe ser negativo</t>
        </r>
      </text>
    </comment>
    <comment ref="A56" authorId="0" shapeId="0">
      <text>
        <r>
          <rPr>
            <b/>
            <sz val="9"/>
            <color indexed="81"/>
            <rFont val="Tahoma"/>
            <family val="2"/>
          </rPr>
          <t>Escriba el valor de los aportes obligatorios a por concepto de salud en caso que el valor calculado sea diferente al valor real</t>
        </r>
        <r>
          <rPr>
            <sz val="9"/>
            <color indexed="81"/>
            <rFont val="Tahoma"/>
            <family val="2"/>
          </rPr>
          <t xml:space="preserve">
</t>
        </r>
      </text>
    </comment>
    <comment ref="E56" authorId="0" shapeId="0">
      <text>
        <r>
          <rPr>
            <b/>
            <sz val="9"/>
            <color indexed="81"/>
            <rFont val="Tahoma"/>
            <family val="2"/>
          </rPr>
          <t>Escriba el valor real del aporte cuando el valor calculado en la casilla "E65" no coincida con el aporte realizado por el empleado.
Este valor debe ser negativo.</t>
        </r>
      </text>
    </comment>
    <comment ref="E61" authorId="0" shapeId="0">
      <text>
        <r>
          <rPr>
            <sz val="9"/>
            <color indexed="81"/>
            <rFont val="Tahoma"/>
            <family val="2"/>
          </rPr>
          <t>RET.FTE.POR EN SISTEMA ORDINARIO EN UVT</t>
        </r>
      </text>
    </comment>
    <comment ref="C62" authorId="0" shapeId="0">
      <text>
        <r>
          <rPr>
            <sz val="9"/>
            <color indexed="81"/>
            <rFont val="Tahoma"/>
            <family val="2"/>
          </rPr>
          <t>RET.FTE.POR EN SISTEMA IMAN EN PESOS</t>
        </r>
      </text>
    </comment>
    <comment ref="E62" authorId="0" shapeId="0">
      <text>
        <r>
          <rPr>
            <sz val="9"/>
            <color indexed="81"/>
            <rFont val="Tahoma"/>
            <family val="2"/>
          </rPr>
          <t>% RET.FTE. APLICABLE DURANTE EL SEMESTRE SIGUIENTE A LOS MESES DE JUNIO Y DICIEMBRE</t>
        </r>
      </text>
    </comment>
  </commentList>
</comments>
</file>

<file path=xl/comments3.xml><?xml version="1.0" encoding="utf-8"?>
<comments xmlns="http://schemas.openxmlformats.org/spreadsheetml/2006/main">
  <authors>
    <author>Oscar Cardona</author>
  </authors>
  <commentList>
    <comment ref="E8" authorId="0" shapeId="0">
      <text>
        <r>
          <rPr>
            <b/>
            <sz val="9"/>
            <color indexed="81"/>
            <rFont val="Tahoma"/>
            <family val="2"/>
          </rPr>
          <t>Art.1º DR 1809 de 1989: “para efectos de calcular el porcentaje fijo de retención en la fuente sobre salarios y demás pagos laborales, cuando el agente retenedor opte por el procedimiento 2 de retención establecido en el artículo 386 del Estatuto T ributarlo, se deberá aplicar la tabla correspondiente al año gravable en el cual debe efectuarse la retención.”</t>
        </r>
      </text>
    </comment>
    <comment ref="D42" authorId="0" shapeId="0">
      <text>
        <r>
          <rPr>
            <b/>
            <sz val="9"/>
            <color indexed="81"/>
            <rFont val="Tahoma"/>
            <family val="2"/>
          </rPr>
          <t>Tenga en cuenta las limitaciones contempladas para los profesionales independientes y/o constructores según el caso</t>
        </r>
        <r>
          <rPr>
            <sz val="9"/>
            <color indexed="81"/>
            <rFont val="Tahoma"/>
            <family val="2"/>
          </rPr>
          <t xml:space="preserve">
</t>
        </r>
      </text>
    </comment>
    <comment ref="D43" authorId="0" shapeId="0">
      <text>
        <r>
          <rPr>
            <b/>
            <sz val="9"/>
            <color indexed="81"/>
            <rFont val="Tahoma"/>
            <family val="2"/>
          </rPr>
          <t>La combinación de aportes voluntarios y obligatorios a fondos de pensiones  + cuentas AFC no pueden exceder de 3.800 UVT anuales</t>
        </r>
      </text>
    </comment>
    <comment ref="D44" authorId="0" shapeId="0">
      <text>
        <r>
          <rPr>
            <b/>
            <sz val="9"/>
            <color indexed="81"/>
            <rFont val="Tahoma"/>
            <family val="2"/>
          </rPr>
          <t>La combinación de aportes voluntarios y obligatorios a fondos de pensiones  + cuentas AFC no pueden exceder de 3.800 UVT anuales</t>
        </r>
      </text>
    </comment>
    <comment ref="L44" authorId="0" shapeId="0">
      <text>
        <r>
          <rPr>
            <sz val="9"/>
            <color indexed="81"/>
            <rFont val="Tahoma"/>
            <family val="2"/>
          </rPr>
          <t>APORTE MÁXIMO PERMITIDO (ENTRE EL 30% DEL ING.LABORAL Y DE 3.800 UVT ANUALES</t>
        </r>
      </text>
    </comment>
    <comment ref="L45" authorId="0" shapeId="0">
      <text>
        <r>
          <rPr>
            <b/>
            <sz val="9"/>
            <color indexed="81"/>
            <rFont val="Tahoma"/>
            <family val="2"/>
          </rPr>
          <t>Aporte máximo PARA ASALARIADOS permitido para los fondos de pensiones sobre 25 smlmv</t>
        </r>
      </text>
    </comment>
    <comment ref="M45" authorId="0" shapeId="0">
      <text>
        <r>
          <rPr>
            <b/>
            <sz val="9"/>
            <color indexed="81"/>
            <rFont val="Tahoma"/>
            <family val="2"/>
          </rPr>
          <t>Aporte máximo PARA TRABAJADORES INDEPENDIENTES permitido para los fondos de pensiones sobre 25 smlmv</t>
        </r>
        <r>
          <rPr>
            <sz val="9"/>
            <color indexed="81"/>
            <rFont val="Tahoma"/>
            <family val="2"/>
          </rPr>
          <t xml:space="preserve">
</t>
        </r>
      </text>
    </comment>
    <comment ref="L46" authorId="0" shapeId="0">
      <text>
        <r>
          <rPr>
            <b/>
            <sz val="9"/>
            <color indexed="81"/>
            <rFont val="Tahoma"/>
            <family val="2"/>
          </rPr>
          <t>Oscar Cardona:</t>
        </r>
        <r>
          <rPr>
            <sz val="9"/>
            <color indexed="81"/>
            <rFont val="Tahoma"/>
            <family val="2"/>
          </rPr>
          <t xml:space="preserve">
INGRESO ANUAL PROYECTADO, INCLUYENDO PRIMAS DE SERVICIO</t>
        </r>
      </text>
    </comment>
    <comment ref="L51" authorId="0" shapeId="0">
      <text>
        <r>
          <rPr>
            <b/>
            <sz val="9"/>
            <color indexed="81"/>
            <rFont val="Tahoma"/>
            <family val="2"/>
          </rPr>
          <t>Renta exenta máxima del 30% del ingreso laboral</t>
        </r>
      </text>
    </comment>
    <comment ref="M51" authorId="0" shapeId="0">
      <text>
        <r>
          <rPr>
            <b/>
            <sz val="9"/>
            <color indexed="81"/>
            <rFont val="Tahoma"/>
            <family val="2"/>
          </rPr>
          <t>Renta exenta máxima permitida</t>
        </r>
      </text>
    </comment>
    <comment ref="L53" authorId="0" shapeId="0">
      <text>
        <r>
          <rPr>
            <b/>
            <sz val="9"/>
            <color indexed="81"/>
            <rFont val="Tahoma"/>
            <family val="2"/>
          </rPr>
          <t>Renta exenta máxima de 3.800 UVT</t>
        </r>
      </text>
    </comment>
    <comment ref="M53" authorId="0" shapeId="0">
      <text>
        <r>
          <rPr>
            <b/>
            <sz val="9"/>
            <color indexed="81"/>
            <rFont val="Tahoma"/>
            <family val="2"/>
          </rPr>
          <t>Aporte voluntario + cta AFC que no excede de 3.800 UVT</t>
        </r>
        <r>
          <rPr>
            <sz val="9"/>
            <color indexed="81"/>
            <rFont val="Tahoma"/>
            <family val="2"/>
          </rPr>
          <t xml:space="preserve">
</t>
        </r>
      </text>
    </comment>
    <comment ref="L54" authorId="0" shapeId="0">
      <text>
        <r>
          <rPr>
            <b/>
            <sz val="9"/>
            <color indexed="81"/>
            <rFont val="Tahoma"/>
            <family val="2"/>
          </rPr>
          <t>Renta exenta máxima de 3.800 UVT</t>
        </r>
      </text>
    </comment>
    <comment ref="M54" authorId="0" shapeId="0">
      <text>
        <r>
          <rPr>
            <b/>
            <sz val="9"/>
            <color indexed="81"/>
            <rFont val="Tahoma"/>
            <family val="2"/>
          </rPr>
          <t>Aporte voluntario + cta AFC que no excede de 3.800 UVT</t>
        </r>
        <r>
          <rPr>
            <sz val="9"/>
            <color indexed="81"/>
            <rFont val="Tahoma"/>
            <family val="2"/>
          </rPr>
          <t xml:space="preserve">
</t>
        </r>
      </text>
    </comment>
    <comment ref="A55" authorId="0" shapeId="0">
      <text>
        <r>
          <rPr>
            <b/>
            <sz val="9"/>
            <color indexed="81"/>
            <rFont val="Tahoma"/>
            <family val="2"/>
          </rPr>
          <t>Escriba el valor de los aportes obligatorios a fondos de pensiones en caso que el valor calculado sea diferente al valor real</t>
        </r>
      </text>
    </comment>
    <comment ref="E55" authorId="0" shapeId="0">
      <text>
        <r>
          <rPr>
            <sz val="9"/>
            <color indexed="81"/>
            <rFont val="Tahoma"/>
            <family val="2"/>
          </rPr>
          <t>Escriba el valor real del aporte cuando el valor calculado en la casilla "E44" no coincida con el aporte realizado por el empleado.
Este valor debe ser negativo.</t>
        </r>
      </text>
    </comment>
    <comment ref="A57" authorId="0" shapeId="0">
      <text>
        <r>
          <rPr>
            <b/>
            <sz val="9"/>
            <color indexed="81"/>
            <rFont val="Tahoma"/>
            <family val="2"/>
          </rPr>
          <t>Escriba el valor de los aportes obligatorios de ARL en caso que el valor calculado sea diferente al valor real</t>
        </r>
        <r>
          <rPr>
            <sz val="9"/>
            <color indexed="81"/>
            <rFont val="Tahoma"/>
            <family val="2"/>
          </rPr>
          <t xml:space="preserve">
</t>
        </r>
      </text>
    </comment>
    <comment ref="E57" authorId="0" shapeId="0">
      <text>
        <r>
          <rPr>
            <sz val="9"/>
            <color indexed="81"/>
            <rFont val="Tahoma"/>
            <family val="2"/>
          </rPr>
          <t>Este valor debe ser negativo</t>
        </r>
      </text>
    </comment>
    <comment ref="E58" authorId="0" shapeId="0">
      <text>
        <r>
          <rPr>
            <sz val="9"/>
            <color indexed="81"/>
            <rFont val="Tahoma"/>
            <family val="2"/>
          </rPr>
          <t>MÁXIMO EL 30% DEL INGRESO TRIBUTARIO O 3.800 UVT POR AÑO</t>
        </r>
      </text>
    </comment>
    <comment ref="K58" authorId="0" shapeId="0">
      <text>
        <r>
          <rPr>
            <sz val="9"/>
            <color indexed="81"/>
            <rFont val="Tahoma"/>
            <family val="2"/>
          </rPr>
          <t>MÁXIMO EL 30% DEL INGRESO TRIBUTARIO O 3.800 UVT POR AÑO</t>
        </r>
      </text>
    </comment>
    <comment ref="M58" authorId="0" shapeId="0">
      <text>
        <r>
          <rPr>
            <b/>
            <sz val="9"/>
            <color indexed="81"/>
            <rFont val="Tahoma"/>
            <family val="2"/>
          </rPr>
          <t xml:space="preserve">Aporte voluntario + cta AFC máximo permitido en la optimización del ahorro </t>
        </r>
        <r>
          <rPr>
            <sz val="9"/>
            <color indexed="81"/>
            <rFont val="Tahoma"/>
            <family val="2"/>
          </rPr>
          <t xml:space="preserve">
</t>
        </r>
      </text>
    </comment>
    <comment ref="E60" authorId="0" shapeId="0">
      <text>
        <r>
          <rPr>
            <sz val="9"/>
            <color indexed="81"/>
            <rFont val="Tahoma"/>
            <family val="2"/>
          </rPr>
          <t>Escriba el valor real del concepto descrito</t>
        </r>
      </text>
    </comment>
    <comment ref="M65" authorId="0" shapeId="0">
      <text>
        <r>
          <rPr>
            <b/>
            <sz val="9"/>
            <color indexed="81"/>
            <rFont val="Tahoma"/>
            <family val="2"/>
          </rPr>
          <t>Sumatoria de aportes obligatorios + voluntarios</t>
        </r>
        <r>
          <rPr>
            <sz val="9"/>
            <color indexed="81"/>
            <rFont val="Tahoma"/>
            <family val="2"/>
          </rPr>
          <t xml:space="preserve">
</t>
        </r>
      </text>
    </comment>
    <comment ref="M66" authorId="0" shapeId="0">
      <text>
        <r>
          <rPr>
            <b/>
            <sz val="9"/>
            <color indexed="81"/>
            <rFont val="Tahoma"/>
            <family val="2"/>
          </rPr>
          <t>Sumatoria de aportes obligatorios + voluntarios</t>
        </r>
        <r>
          <rPr>
            <sz val="9"/>
            <color indexed="81"/>
            <rFont val="Tahoma"/>
            <family val="2"/>
          </rPr>
          <t xml:space="preserve">
</t>
        </r>
      </text>
    </comment>
    <comment ref="A67" authorId="0" shapeId="0">
      <text>
        <r>
          <rPr>
            <b/>
            <sz val="9"/>
            <color indexed="81"/>
            <rFont val="Tahoma"/>
            <family val="2"/>
          </rPr>
          <t>Escriba el valor de los aportes obligatorios a por concepto de salud en caso que el valor calculado sea diferente al valor real</t>
        </r>
        <r>
          <rPr>
            <sz val="9"/>
            <color indexed="81"/>
            <rFont val="Tahoma"/>
            <family val="2"/>
          </rPr>
          <t xml:space="preserve">
</t>
        </r>
      </text>
    </comment>
    <comment ref="E67" authorId="0" shapeId="0">
      <text>
        <r>
          <rPr>
            <b/>
            <sz val="9"/>
            <color indexed="81"/>
            <rFont val="Tahoma"/>
            <family val="2"/>
          </rPr>
          <t>Escriba el valor real del aporte cuando el valor calculado en la casilla "E65" no coincida con el aporte realizado por el empleado.
Este valor debe ser negativo.</t>
        </r>
      </text>
    </comment>
    <comment ref="E75" authorId="0" shapeId="0">
      <text>
        <r>
          <rPr>
            <sz val="9"/>
            <color indexed="81"/>
            <rFont val="Tahoma"/>
            <family val="2"/>
          </rPr>
          <t>RET.FTE.POR EN SISTEMA ORDINARIO EN UVT</t>
        </r>
      </text>
    </comment>
    <comment ref="C76" authorId="0" shapeId="0">
      <text>
        <r>
          <rPr>
            <sz val="9"/>
            <color indexed="81"/>
            <rFont val="Tahoma"/>
            <family val="2"/>
          </rPr>
          <t>RET.FTE.POR EN SISTEMA IMAN EN PESOS</t>
        </r>
      </text>
    </comment>
    <comment ref="E76" authorId="0" shapeId="0">
      <text>
        <r>
          <rPr>
            <sz val="9"/>
            <color indexed="81"/>
            <rFont val="Tahoma"/>
            <family val="2"/>
          </rPr>
          <t>% RET.FTE. APLICABLE DURANTE EL SEMESTRE SIGUIENTE A LOS MESES DE JUNIO Y DICIEMBRE</t>
        </r>
      </text>
    </comment>
    <comment ref="H76" authorId="0" shapeId="0">
      <text>
        <r>
          <rPr>
            <sz val="9"/>
            <color indexed="81"/>
            <rFont val="Tahoma"/>
            <family val="2"/>
          </rPr>
          <t>RET.FTE.POR EN SISTEMA ORDINARIO EN UVT</t>
        </r>
      </text>
    </comment>
    <comment ref="I76" authorId="0" shapeId="0">
      <text>
        <r>
          <rPr>
            <sz val="9"/>
            <color indexed="81"/>
            <rFont val="Tahoma"/>
            <family val="2"/>
          </rPr>
          <t>RET.FTE.POR EN SISTEMA ORDINARIO EN PESOS</t>
        </r>
      </text>
    </comment>
  </commentList>
</comments>
</file>

<file path=xl/comments4.xml><?xml version="1.0" encoding="utf-8"?>
<comments xmlns="http://schemas.openxmlformats.org/spreadsheetml/2006/main">
  <authors>
    <author>Oscar Cardona</author>
    <author>Usuario</author>
  </authors>
  <commentList>
    <comment ref="G16" authorId="0" shapeId="0">
      <text>
        <r>
          <rPr>
            <b/>
            <sz val="9"/>
            <color indexed="81"/>
            <rFont val="Tahoma"/>
            <family val="2"/>
          </rPr>
          <t>Art.1º DR 1809 de 1989: “para efectos de calcular el porcentaje fijo de retención en la fuente sobre salarios y demás pagos laborales, cuando el agente retenedor opte por el procedimiento 2 de retención establecido en el artículo 386 del Estatuto T ributarlo, se deberá aplicar la tabla correspondiente al año gravable en el cual debe efectuarse la retención.”</t>
        </r>
      </text>
    </comment>
    <comment ref="F51" authorId="0" shapeId="0">
      <text>
        <r>
          <rPr>
            <b/>
            <sz val="9"/>
            <color indexed="81"/>
            <rFont val="Tahoma"/>
            <family val="2"/>
          </rPr>
          <t>La combinación de aportes voluntarios y obligatorios a fondos de pensiones  + cuentas AFC no pueden exceder de 3.800 UVT anuales</t>
        </r>
      </text>
    </comment>
    <comment ref="F52" authorId="0" shapeId="0">
      <text>
        <r>
          <rPr>
            <b/>
            <sz val="9"/>
            <color indexed="81"/>
            <rFont val="Tahoma"/>
            <family val="2"/>
          </rPr>
          <t>La combinación de aportes voluntarios y obligatorios a fondos de pensiones  + cuentas AFC no pueden exceder de 3.800 UVT anuales</t>
        </r>
      </text>
    </comment>
    <comment ref="C63" authorId="0" shapeId="0">
      <text>
        <r>
          <rPr>
            <b/>
            <sz val="9"/>
            <color indexed="81"/>
            <rFont val="Tahoma"/>
            <family val="2"/>
          </rPr>
          <t>Escriba el valor de los aportes obligatorios a por concepto de salud en caso que el valor calculado sea diferente al valor real</t>
        </r>
        <r>
          <rPr>
            <sz val="9"/>
            <color indexed="81"/>
            <rFont val="Tahoma"/>
            <family val="2"/>
          </rPr>
          <t xml:space="preserve">
</t>
        </r>
      </text>
    </comment>
    <comment ref="G63" authorId="0" shapeId="0">
      <text>
        <r>
          <rPr>
            <b/>
            <sz val="9"/>
            <color indexed="81"/>
            <rFont val="Tahoma"/>
            <family val="2"/>
          </rPr>
          <t>Escriba el valor real del aporte cuando el valor calculado en los renglones 26 y 27 no coincida con el aporte realizado por el empleado.
Este valor debe ser negativo.</t>
        </r>
      </text>
    </comment>
    <comment ref="C66" authorId="0" shapeId="0">
      <text>
        <r>
          <rPr>
            <b/>
            <sz val="9"/>
            <color indexed="81"/>
            <rFont val="Tahoma"/>
            <family val="2"/>
          </rPr>
          <t>Escriba el valor de los aportes obligatorios a fondos de pensiones en caso que el valor calculado sea diferente al valor real</t>
        </r>
      </text>
    </comment>
    <comment ref="G66" authorId="0" shapeId="0">
      <text>
        <r>
          <rPr>
            <b/>
            <sz val="9"/>
            <color indexed="81"/>
            <rFont val="Tahoma"/>
            <family val="2"/>
          </rPr>
          <t>Escriba el valor real del aporte cuando el valor calculado en el renglón 29 no coincida con el aporte realizado por el empleado. Este valor debe ser negativo</t>
        </r>
      </text>
    </comment>
    <comment ref="G73" authorId="0" shapeId="0">
      <text>
        <r>
          <rPr>
            <b/>
            <sz val="9"/>
            <color indexed="81"/>
            <rFont val="Tahoma"/>
            <family val="2"/>
          </rPr>
          <t>Escriba el valor real del concepto descrito</t>
        </r>
      </text>
    </comment>
    <comment ref="G80" authorId="1" shapeId="0">
      <text>
        <r>
          <rPr>
            <b/>
            <sz val="9"/>
            <color indexed="81"/>
            <rFont val="Tahoma"/>
            <family val="2"/>
          </rPr>
          <t>MÁXIMO EL 30% DEL INGRESO TRIBUTARIO O 3.800 UVT POR AÑO.
En atención a los artículos 126-1 y 126-4 E.T. este renglón considerara que la renta exenta pueden alcanzar un valor máximo en el mes equivalente a 3.800 UVT. Nuestra posición en éste sentido es que el contribuyente puede realizar el aporte máximo en un solo mes o puede hacerlo en los diferentes meses del año.
Por lo anterior, el usuario debe tener en cuenta que estos aportes pueden alcanzar el valor máximo que corresponda a 3.800, razón por la cual le corresponde analizar cada situación particular con el fin de establecer el límite mensual que utilizará en esta casilla para aquellos casos en que el aporte máximo no se haga en un solo mes si no en los diferentes meses del año.</t>
        </r>
        <r>
          <rPr>
            <sz val="9"/>
            <color indexed="81"/>
            <rFont val="Tahoma"/>
            <family val="2"/>
          </rPr>
          <t xml:space="preserve">
</t>
        </r>
      </text>
    </comment>
  </commentList>
</comments>
</file>

<file path=xl/comments5.xml><?xml version="1.0" encoding="utf-8"?>
<comments xmlns="http://schemas.openxmlformats.org/spreadsheetml/2006/main">
  <authors>
    <author>Oscar Cardona</author>
    <author>Usuario</author>
  </authors>
  <commentList>
    <comment ref="G16" authorId="0" shapeId="0">
      <text>
        <r>
          <rPr>
            <b/>
            <sz val="9"/>
            <color indexed="81"/>
            <rFont val="Tahoma"/>
            <family val="2"/>
          </rPr>
          <t>Art.1º DR 1809 de 1989: “para efectos de calcular el porcentaje fijo de retención en la fuente sobre salarios y demás pagos laborales, cuando el agente retenedor opte por el procedimiento 2 de retención establecido en el artículo 386 del Estatuto T ributarlo, se deberá aplicar la tabla correspondiente al año gravable en el cual debe efectuarse la retención.”</t>
        </r>
      </text>
    </comment>
    <comment ref="F51" authorId="0" shapeId="0">
      <text>
        <r>
          <rPr>
            <b/>
            <sz val="9"/>
            <color indexed="81"/>
            <rFont val="Tahoma"/>
            <family val="2"/>
          </rPr>
          <t>La combinación de aportes voluntarios y obligatorios a fondos de pensiones  + cuentas AFC no pueden exceder de 3.800 UVT anuales</t>
        </r>
      </text>
    </comment>
    <comment ref="F52" authorId="0" shapeId="0">
      <text>
        <r>
          <rPr>
            <b/>
            <sz val="9"/>
            <color indexed="81"/>
            <rFont val="Tahoma"/>
            <family val="2"/>
          </rPr>
          <t>La combinación de aportes voluntarios y obligatorios a fondos de pensiones  + cuentas AFC no pueden exceder de 3.800 UVT anuales</t>
        </r>
      </text>
    </comment>
    <comment ref="C63" authorId="0" shapeId="0">
      <text>
        <r>
          <rPr>
            <b/>
            <sz val="9"/>
            <color indexed="81"/>
            <rFont val="Tahoma"/>
            <family val="2"/>
          </rPr>
          <t>Escriba el valor de los aportes obligatorios a por concepto de salud en caso que el valor calculado sea diferente al valor real</t>
        </r>
        <r>
          <rPr>
            <sz val="9"/>
            <color indexed="81"/>
            <rFont val="Tahoma"/>
            <family val="2"/>
          </rPr>
          <t xml:space="preserve">
</t>
        </r>
      </text>
    </comment>
    <comment ref="G63" authorId="0" shapeId="0">
      <text>
        <r>
          <rPr>
            <b/>
            <sz val="9"/>
            <color indexed="81"/>
            <rFont val="Tahoma"/>
            <family val="2"/>
          </rPr>
          <t>Escriba el valor real del aporte cuando el valor calculado en los renglones 26 y 27 no coincida con el aporte realizado por el empleado.
Este valor debe ser negativo.</t>
        </r>
      </text>
    </comment>
    <comment ref="C66" authorId="0" shapeId="0">
      <text>
        <r>
          <rPr>
            <b/>
            <sz val="9"/>
            <color indexed="81"/>
            <rFont val="Tahoma"/>
            <family val="2"/>
          </rPr>
          <t>Escriba el valor de los aportes obligatorios a fondos de pensiones en caso que el valor calculado sea diferente al valor real</t>
        </r>
      </text>
    </comment>
    <comment ref="G66" authorId="0" shapeId="0">
      <text>
        <r>
          <rPr>
            <b/>
            <sz val="9"/>
            <color indexed="81"/>
            <rFont val="Tahoma"/>
            <family val="2"/>
          </rPr>
          <t>Escriba el valor real del aporte cuando el valor calculado en el renglón 29 no coincida con el aporte realizado por el empleado. Este valor debe ser negativo</t>
        </r>
      </text>
    </comment>
    <comment ref="G73" authorId="0" shapeId="0">
      <text>
        <r>
          <rPr>
            <b/>
            <sz val="9"/>
            <color indexed="81"/>
            <rFont val="Tahoma"/>
            <family val="2"/>
          </rPr>
          <t>Escriba el valor real del concepto descrito</t>
        </r>
      </text>
    </comment>
    <comment ref="G80" authorId="1" shapeId="0">
      <text>
        <r>
          <rPr>
            <b/>
            <sz val="9"/>
            <color indexed="81"/>
            <rFont val="Tahoma"/>
            <family val="2"/>
          </rPr>
          <t>MÁXIMO EL 30% DEL INGRESO TRIBUTARIO O 3.800 UVT POR AÑO.
En atención a los artículos 126-1 y 126-4 E.T. este renglón considerara que la renta exenta pueden alcanzar un valor máximo en el mes equivalente a 3.800 UVT. Nuestra posición en éste sentido es que el contribuyente puede realizar el aporte máximo en un solo mes o puede hacerlo en los diferentes meses del año.
Por lo anterior, el usuario debe tener en cuenta que estos aportes pueden alcanzar el valor máximo que corresponda a 3.800, razón por la cual le corresponde analizar cada situación particular con el fin de establecer el límite mensual que utilizará en esta casilla para aquellos casos en que el aporte máximo no se haga en un solo mes si no en los diferentes meses del año.</t>
        </r>
        <r>
          <rPr>
            <sz val="9"/>
            <color indexed="81"/>
            <rFont val="Tahoma"/>
            <family val="2"/>
          </rPr>
          <t xml:space="preserve">
</t>
        </r>
      </text>
    </comment>
  </commentList>
</comments>
</file>

<file path=xl/comments6.xml><?xml version="1.0" encoding="utf-8"?>
<comments xmlns="http://schemas.openxmlformats.org/spreadsheetml/2006/main">
  <authors>
    <author>Oscar Cardona</author>
  </authors>
  <commentList>
    <comment ref="I22" authorId="0" shapeId="0">
      <text>
        <r>
          <rPr>
            <sz val="9"/>
            <color indexed="81"/>
            <rFont val="Tahoma"/>
            <family val="2"/>
          </rPr>
          <t xml:space="preserve">RF POR EL SISTEMA IMAN
</t>
        </r>
      </text>
    </comment>
  </commentList>
</comments>
</file>

<file path=xl/comments7.xml><?xml version="1.0" encoding="utf-8"?>
<comments xmlns="http://schemas.openxmlformats.org/spreadsheetml/2006/main">
  <authors>
    <author>Oscar Cardona</author>
  </authors>
  <commentList>
    <comment ref="G15" authorId="0" shapeId="0">
      <text>
        <r>
          <rPr>
            <b/>
            <sz val="9"/>
            <color indexed="81"/>
            <rFont val="Tahoma"/>
            <family val="2"/>
          </rPr>
          <t>Art.1º DR 1809 de 1989: “para efectos de calcular el porcentaje fijo de retención en la fuente sobre salarios y demás pagos laborales, cuando el agente retenedor opte por el procedimiento 2 de retención establecido en el artículo 386 del Estatuto T ributarlo, se deberá aplicar la tabla correspondiente al año gravable en el cual debe efectuarse la retención.”</t>
        </r>
      </text>
    </comment>
    <comment ref="F48" authorId="0" shapeId="0">
      <text>
        <r>
          <rPr>
            <b/>
            <sz val="9"/>
            <color indexed="81"/>
            <rFont val="Tahoma"/>
            <family val="2"/>
          </rPr>
          <t>Tenga en cuenta las limitaciones contempladas para los profesionales independientes y/o constructores según el caso</t>
        </r>
        <r>
          <rPr>
            <sz val="9"/>
            <color indexed="81"/>
            <rFont val="Tahoma"/>
            <family val="2"/>
          </rPr>
          <t xml:space="preserve">
</t>
        </r>
      </text>
    </comment>
    <comment ref="F49" authorId="0" shapeId="0">
      <text>
        <r>
          <rPr>
            <b/>
            <sz val="9"/>
            <color indexed="81"/>
            <rFont val="Tahoma"/>
            <family val="2"/>
          </rPr>
          <t>La combinación de aportes voluntarios y obligatorios a fondos de pensiones  + cuentas AFC no pueden exceder de 3.800 UVT anuales</t>
        </r>
      </text>
    </comment>
    <comment ref="F50" authorId="0" shapeId="0">
      <text>
        <r>
          <rPr>
            <b/>
            <sz val="9"/>
            <color indexed="81"/>
            <rFont val="Tahoma"/>
            <family val="2"/>
          </rPr>
          <t>La combinación de aportes voluntarios y obligatorios a fondos de pensiones  + cuentas AFC no pueden exceder de 3.800 UVT anuales</t>
        </r>
      </text>
    </comment>
    <comment ref="N50" authorId="0" shapeId="0">
      <text>
        <r>
          <rPr>
            <sz val="9"/>
            <color indexed="81"/>
            <rFont val="Tahoma"/>
            <family val="2"/>
          </rPr>
          <t>APORTE MÁXIMO PERMITIDO (ENTRE EL 30% DEL ING.LABORAL Y DE 3.800 UVT ANUALES</t>
        </r>
      </text>
    </comment>
    <comment ref="N51" authorId="0" shapeId="0">
      <text>
        <r>
          <rPr>
            <b/>
            <sz val="9"/>
            <color indexed="81"/>
            <rFont val="Tahoma"/>
            <family val="2"/>
          </rPr>
          <t>Aporte máximo PARA ASALARIADOS permitido para los fondos de pensiones sobre 25 smlmv</t>
        </r>
      </text>
    </comment>
    <comment ref="O51" authorId="0" shapeId="0">
      <text>
        <r>
          <rPr>
            <b/>
            <sz val="9"/>
            <color indexed="81"/>
            <rFont val="Tahoma"/>
            <family val="2"/>
          </rPr>
          <t>Aporte máximo PARA TRABAJADORES INDEPENDIENTES permitido para los fondos de pensiones sobre 25 smlmv</t>
        </r>
        <r>
          <rPr>
            <sz val="9"/>
            <color indexed="81"/>
            <rFont val="Tahoma"/>
            <family val="2"/>
          </rPr>
          <t xml:space="preserve">
</t>
        </r>
      </text>
    </comment>
    <comment ref="N52" authorId="0" shapeId="0">
      <text>
        <r>
          <rPr>
            <b/>
            <sz val="9"/>
            <color indexed="81"/>
            <rFont val="Tahoma"/>
            <family val="2"/>
          </rPr>
          <t>Oscar Cardona:</t>
        </r>
        <r>
          <rPr>
            <sz val="9"/>
            <color indexed="81"/>
            <rFont val="Tahoma"/>
            <family val="2"/>
          </rPr>
          <t xml:space="preserve">
INGRESO ANUAL PROYECTADO, INCLUYENDO PRIMAS DE SERVICIO</t>
        </r>
      </text>
    </comment>
    <comment ref="N57" authorId="0" shapeId="0">
      <text>
        <r>
          <rPr>
            <b/>
            <sz val="9"/>
            <color indexed="81"/>
            <rFont val="Tahoma"/>
            <family val="2"/>
          </rPr>
          <t>Renta exenta máxima del 30% del ingreso laboral</t>
        </r>
      </text>
    </comment>
    <comment ref="O57" authorId="0" shapeId="0">
      <text>
        <r>
          <rPr>
            <b/>
            <sz val="9"/>
            <color indexed="81"/>
            <rFont val="Tahoma"/>
            <family val="2"/>
          </rPr>
          <t>Renta exenta máxima permitida</t>
        </r>
      </text>
    </comment>
    <comment ref="O59" authorId="0" shapeId="0">
      <text>
        <r>
          <rPr>
            <b/>
            <sz val="9"/>
            <color indexed="81"/>
            <rFont val="Tahoma"/>
            <family val="2"/>
          </rPr>
          <t>Sumatoria de aportes obligatorios + voluntarios</t>
        </r>
        <r>
          <rPr>
            <sz val="9"/>
            <color indexed="81"/>
            <rFont val="Tahoma"/>
            <family val="2"/>
          </rPr>
          <t xml:space="preserve">
</t>
        </r>
      </text>
    </comment>
    <comment ref="O60" authorId="0" shapeId="0">
      <text>
        <r>
          <rPr>
            <b/>
            <sz val="9"/>
            <color indexed="81"/>
            <rFont val="Tahoma"/>
            <family val="2"/>
          </rPr>
          <t>Sumatoria de aportes obligatorios + voluntarios</t>
        </r>
        <r>
          <rPr>
            <sz val="9"/>
            <color indexed="81"/>
            <rFont val="Tahoma"/>
            <family val="2"/>
          </rPr>
          <t xml:space="preserve">
</t>
        </r>
      </text>
    </comment>
    <comment ref="C61" authorId="0" shapeId="0">
      <text>
        <r>
          <rPr>
            <b/>
            <sz val="9"/>
            <color indexed="81"/>
            <rFont val="Tahoma"/>
            <family val="2"/>
          </rPr>
          <t>Escriba el valor de los aportes obligatorios a por concepto de salud en caso que el valor calculado sea diferente al valor real</t>
        </r>
        <r>
          <rPr>
            <sz val="9"/>
            <color indexed="81"/>
            <rFont val="Tahoma"/>
            <family val="2"/>
          </rPr>
          <t xml:space="preserve">
</t>
        </r>
      </text>
    </comment>
    <comment ref="G61" authorId="0" shapeId="0">
      <text>
        <r>
          <rPr>
            <b/>
            <sz val="9"/>
            <color indexed="81"/>
            <rFont val="Tahoma"/>
            <family val="2"/>
          </rPr>
          <t>Escriba el valor real del aporte cuando el valor calculado en los renglones 21 y 22 no coincida con el aporte realizado por el empleado.
Este valor debe ser negativo.</t>
        </r>
      </text>
    </comment>
    <comment ref="N62" authorId="0" shapeId="0">
      <text>
        <r>
          <rPr>
            <b/>
            <sz val="9"/>
            <color indexed="81"/>
            <rFont val="Tahoma"/>
            <family val="2"/>
          </rPr>
          <t>Renta exenta máxima de 3.800 UVT</t>
        </r>
      </text>
    </comment>
    <comment ref="O62" authorId="0" shapeId="0">
      <text>
        <r>
          <rPr>
            <b/>
            <sz val="9"/>
            <color indexed="81"/>
            <rFont val="Tahoma"/>
            <family val="2"/>
          </rPr>
          <t>Aporte voluntario + cta AFC que no excede de 3.800 UVT</t>
        </r>
        <r>
          <rPr>
            <sz val="9"/>
            <color indexed="81"/>
            <rFont val="Tahoma"/>
            <family val="2"/>
          </rPr>
          <t xml:space="preserve">
</t>
        </r>
      </text>
    </comment>
    <comment ref="N63" authorId="0" shapeId="0">
      <text>
        <r>
          <rPr>
            <b/>
            <sz val="9"/>
            <color indexed="81"/>
            <rFont val="Tahoma"/>
            <family val="2"/>
          </rPr>
          <t>Renta exenta máxima de 3.800 UVT</t>
        </r>
      </text>
    </comment>
    <comment ref="O63" authorId="0" shapeId="0">
      <text>
        <r>
          <rPr>
            <b/>
            <sz val="9"/>
            <color indexed="81"/>
            <rFont val="Tahoma"/>
            <family val="2"/>
          </rPr>
          <t>Aporte voluntario + cta AFC que no excede de 3.800 UVT</t>
        </r>
        <r>
          <rPr>
            <sz val="9"/>
            <color indexed="81"/>
            <rFont val="Tahoma"/>
            <family val="2"/>
          </rPr>
          <t xml:space="preserve">
</t>
        </r>
      </text>
    </comment>
    <comment ref="C64" authorId="0" shapeId="0">
      <text>
        <r>
          <rPr>
            <b/>
            <sz val="9"/>
            <color indexed="81"/>
            <rFont val="Tahoma"/>
            <family val="2"/>
          </rPr>
          <t>Escriba el valor de los aportes obligatorios a fondos de pensiones en caso que el valor calculado sea diferente al valor real</t>
        </r>
      </text>
    </comment>
    <comment ref="G64" authorId="0" shapeId="0">
      <text>
        <r>
          <rPr>
            <b/>
            <sz val="9"/>
            <color indexed="81"/>
            <rFont val="Tahoma"/>
            <family val="2"/>
          </rPr>
          <t>Escriba el valor real del aporte cuando el valor calculado en el renglón 24 no coincida con el aporte realizado por el empleado</t>
        </r>
      </text>
    </comment>
    <comment ref="C66" authorId="0" shapeId="0">
      <text>
        <r>
          <rPr>
            <b/>
            <sz val="9"/>
            <color indexed="81"/>
            <rFont val="Tahoma"/>
            <family val="2"/>
          </rPr>
          <t>Escriba el valor de los aportes obligatorios de ARL en caso que el valor calculado sea diferente al valor real</t>
        </r>
        <r>
          <rPr>
            <sz val="9"/>
            <color indexed="81"/>
            <rFont val="Tahoma"/>
            <family val="2"/>
          </rPr>
          <t xml:space="preserve">
</t>
        </r>
      </text>
    </comment>
    <comment ref="G71" authorId="0" shapeId="0">
      <text>
        <r>
          <rPr>
            <b/>
            <sz val="9"/>
            <color indexed="81"/>
            <rFont val="Tahoma"/>
            <family val="2"/>
          </rPr>
          <t>Escriba el valor real del concepto descrito</t>
        </r>
      </text>
    </comment>
    <comment ref="G78" authorId="0" shapeId="0">
      <text>
        <r>
          <rPr>
            <b/>
            <sz val="9"/>
            <color indexed="81"/>
            <rFont val="Tahoma"/>
            <family val="2"/>
          </rPr>
          <t>MÁXIMO EL 30% DEL INGRESO TRIBUTARIO O 3.800 UVT POR AÑO</t>
        </r>
      </text>
    </comment>
    <comment ref="M78" authorId="0" shapeId="0">
      <text>
        <r>
          <rPr>
            <sz val="9"/>
            <color indexed="81"/>
            <rFont val="Tahoma"/>
            <family val="2"/>
          </rPr>
          <t>MÁXIMO EL 30% DEL INGRESO TRIBUTARIO O 3.800 UVT POR AÑO</t>
        </r>
      </text>
    </comment>
    <comment ref="O78" authorId="0" shapeId="0">
      <text>
        <r>
          <rPr>
            <b/>
            <sz val="9"/>
            <color indexed="81"/>
            <rFont val="Tahoma"/>
            <family val="2"/>
          </rPr>
          <t xml:space="preserve">Aporte voluntario + cta AFC máximo permitido en la optimización del ahorro </t>
        </r>
        <r>
          <rPr>
            <sz val="9"/>
            <color indexed="81"/>
            <rFont val="Tahoma"/>
            <family val="2"/>
          </rPr>
          <t xml:space="preserve">
</t>
        </r>
      </text>
    </comment>
    <comment ref="G79" authorId="0" shapeId="0">
      <text>
        <r>
          <rPr>
            <b/>
            <sz val="9"/>
            <color indexed="81"/>
            <rFont val="Tahoma"/>
            <family val="2"/>
          </rPr>
          <t>Escriba el monto de las cesantías e intereses certificados como exentos del impuesto de renta, así como el valos de las demás rentas exentas percibidas por el contribuyente</t>
        </r>
      </text>
    </comment>
    <comment ref="J89" authorId="0" shapeId="0">
      <text>
        <r>
          <rPr>
            <sz val="9"/>
            <color indexed="81"/>
            <rFont val="Tahoma"/>
            <family val="2"/>
          </rPr>
          <t>RET.FTE.POR EN SISTEMA ORDINARIO EN UVT</t>
        </r>
      </text>
    </comment>
    <comment ref="K89" authorId="0" shapeId="0">
      <text>
        <r>
          <rPr>
            <sz val="9"/>
            <color indexed="81"/>
            <rFont val="Tahoma"/>
            <family val="2"/>
          </rPr>
          <t>RET.FTE.POR EN SISTEMA ORDINARIO EN PESOS</t>
        </r>
      </text>
    </comment>
  </commentList>
</comments>
</file>

<file path=xl/comments8.xml><?xml version="1.0" encoding="utf-8"?>
<comments xmlns="http://schemas.openxmlformats.org/spreadsheetml/2006/main">
  <authors>
    <author>Oscar Cardona</author>
  </authors>
  <commentList>
    <comment ref="F12" authorId="0" shapeId="0">
      <text>
        <r>
          <rPr>
            <b/>
            <sz val="9"/>
            <color indexed="81"/>
            <rFont val="Tahoma"/>
            <family val="2"/>
          </rPr>
          <t xml:space="preserve">Escriba el valor (con signo negativo) de los ingresos no constitutivos de renta por rendimientos financieros, dividendos, venta de acciones y demás que le correspondan al contribuyente.
</t>
        </r>
        <r>
          <rPr>
            <b/>
            <u/>
            <sz val="9"/>
            <color indexed="81"/>
            <rFont val="Tahoma"/>
            <family val="2"/>
          </rPr>
          <t>NOTA IMPORTANTE:</t>
        </r>
        <r>
          <rPr>
            <b/>
            <sz val="9"/>
            <color indexed="81"/>
            <rFont val="Tahoma"/>
            <family val="2"/>
          </rPr>
          <t xml:space="preserve">
Si la casilla M57 le indica que existe un "ERROR" usted debe limitar el INCR en la cifra indicada en la casilla M58
Ello con el fin de igualar la Renta líquida Ordinaria al IMAN</t>
        </r>
      </text>
    </comment>
    <comment ref="I13" authorId="0" shapeId="0">
      <text>
        <r>
          <rPr>
            <sz val="9"/>
            <color indexed="81"/>
            <rFont val="Tahoma"/>
            <family val="2"/>
          </rPr>
          <t>MÁXIMO EL 30% DEL INGRESO TRIBUTARIO O 3.800 UVT POR AÑO</t>
        </r>
      </text>
    </comment>
    <comment ref="A17" authorId="0" shapeId="0">
      <text>
        <r>
          <rPr>
            <b/>
            <sz val="9"/>
            <color indexed="81"/>
            <rFont val="Tahoma"/>
            <family val="2"/>
          </rPr>
          <t>Frente a las deducciones diferentes a las de los "EMPLEADOS" existen otras opiniones que expresan que éstas deben restarse despúes de calcular la renta exenta del 25%</t>
        </r>
      </text>
    </comment>
    <comment ref="I22" authorId="0" shapeId="0">
      <text>
        <r>
          <rPr>
            <b/>
            <sz val="9"/>
            <color indexed="81"/>
            <rFont val="Tahoma"/>
            <family val="2"/>
          </rPr>
          <t>Base gravable que se equipara al IMAN para "EMPLEADOS"</t>
        </r>
        <r>
          <rPr>
            <sz val="9"/>
            <color indexed="81"/>
            <rFont val="Tahoma"/>
            <family val="2"/>
          </rPr>
          <t xml:space="preserve">
</t>
        </r>
      </text>
    </comment>
    <comment ref="I24" authorId="0" shapeId="0">
      <text>
        <r>
          <rPr>
            <b/>
            <sz val="9"/>
            <color indexed="81"/>
            <rFont val="Tahoma"/>
            <family val="2"/>
          </rPr>
          <t>Impuesto de renta optimizado (en UVT), tomando los beneficios máximos que igualan el impuesto de renta al IMAN</t>
        </r>
        <r>
          <rPr>
            <sz val="9"/>
            <color indexed="81"/>
            <rFont val="Tahoma"/>
            <family val="2"/>
          </rPr>
          <t xml:space="preserve">
</t>
        </r>
      </text>
    </comment>
    <comment ref="I25" authorId="0" shapeId="0">
      <text>
        <r>
          <rPr>
            <b/>
            <sz val="9"/>
            <color indexed="81"/>
            <rFont val="Tahoma"/>
            <family val="2"/>
          </rPr>
          <t>Impuesto de renta optimizado (en pesos), tomando los beneficios máximos que igualan el impuesto de renta al IMAN</t>
        </r>
        <r>
          <rPr>
            <sz val="9"/>
            <color indexed="81"/>
            <rFont val="Tahoma"/>
            <family val="2"/>
          </rPr>
          <t xml:space="preserve">
</t>
        </r>
      </text>
    </comment>
  </commentList>
</comments>
</file>

<file path=xl/comments9.xml><?xml version="1.0" encoding="utf-8"?>
<comments xmlns="http://schemas.openxmlformats.org/spreadsheetml/2006/main">
  <authors>
    <author>Oscar Cardona</author>
  </authors>
  <commentList>
    <comment ref="I22" authorId="0" shapeId="0">
      <text>
        <r>
          <rPr>
            <sz val="9"/>
            <color indexed="81"/>
            <rFont val="Tahoma"/>
            <family val="2"/>
          </rPr>
          <t xml:space="preserve">IMPTO SEGÚN EL SISTEMA IMAN
</t>
        </r>
      </text>
    </comment>
  </commentList>
</comments>
</file>

<file path=xl/sharedStrings.xml><?xml version="1.0" encoding="utf-8"?>
<sst xmlns="http://schemas.openxmlformats.org/spreadsheetml/2006/main" count="1205" uniqueCount="411">
  <si>
    <t>Ingreso bruto mensual</t>
  </si>
  <si>
    <t>(miles de pesos)</t>
  </si>
  <si>
    <t>UVT</t>
  </si>
  <si>
    <t>IMAN</t>
  </si>
  <si>
    <t>Ingreso bruto</t>
  </si>
  <si>
    <t>Aportes obligatorios a pensiones: 4/6%</t>
  </si>
  <si>
    <t>Aportes obligatorios a salud: 4%</t>
  </si>
  <si>
    <t>Aportes voluntarios a pensiones</t>
  </si>
  <si>
    <t>Deducción salud particular (Límite 16 UVT)</t>
  </si>
  <si>
    <t>Subtotal</t>
  </si>
  <si>
    <t>Ingreso Laboral Gravable Mensual</t>
  </si>
  <si>
    <t>Base en UVT</t>
  </si>
  <si>
    <t>Retención en UVT según tabla</t>
  </si>
  <si>
    <t>Porcentaje del ingreso bruto</t>
  </si>
  <si>
    <t>Deducción dependientes (límite 10% ó 32 UVT)</t>
  </si>
  <si>
    <t>SI</t>
  </si>
  <si>
    <t>25% renta exenta (Límite 240 UVT</t>
  </si>
  <si>
    <t>N.A.</t>
  </si>
  <si>
    <t>25% renta exenta (Límite 240 UVT)</t>
  </si>
  <si>
    <t xml:space="preserve">Aportes obligatorios a pensiones: 4/6% </t>
  </si>
  <si>
    <t>SISTEMA ORDINARIO - VARIOS ESCENARIOS DE APORTES Y DEDUCCIONES</t>
  </si>
  <si>
    <t>CONCEPTOS</t>
  </si>
  <si>
    <t>B.</t>
  </si>
  <si>
    <t>Deducción intereses de vivienda (Límite 100 UVT)</t>
  </si>
  <si>
    <t>Retención en miles de pesos</t>
  </si>
  <si>
    <t xml:space="preserve">CUADRO COMPARATIVO ENTRE LAS RETENCIONES EN LA FUENTE MENSUALES POR EL SISTEMA ORDINARIO Y EL SISTEMA IMAN </t>
  </si>
  <si>
    <t>APLICABLE: PARA ASALARIADOS</t>
  </si>
  <si>
    <t xml:space="preserve">A.  </t>
  </si>
  <si>
    <t>Con beneficios que igualan al IMAN</t>
  </si>
  <si>
    <t>Porcentaje del ingreso utilizado en beneficios fiscales:</t>
  </si>
  <si>
    <t>Porcentaje de beneficios totales sobre el ingreso</t>
  </si>
  <si>
    <t>Porcentaje de aportes voluntarios y obligatorios sobre el ingreso</t>
  </si>
  <si>
    <t>Porcentaje de intereses de vivienda sobre el ingreso</t>
  </si>
  <si>
    <t>Salud particular y dependientes</t>
  </si>
  <si>
    <t>Máximos beneficios</t>
  </si>
  <si>
    <t>UVT $26.841</t>
  </si>
  <si>
    <t>Impuesto de renta en UVT según tabla</t>
  </si>
  <si>
    <t xml:space="preserve">Impuesto en miles de pesos </t>
  </si>
  <si>
    <t>Exceso de impuesto por el sistema IMAN</t>
  </si>
  <si>
    <t>Exceso de retención por el sistema IMAN/ Sistema Ordinario</t>
  </si>
  <si>
    <t>Valor a pagar/ Saldo a favor</t>
  </si>
  <si>
    <t>Porcentaje de impuesto sobre el ingreso bruto</t>
  </si>
  <si>
    <t>CUADRO COMPARATIVO DEL IMPUESTO DE RENTA POR EL SISTEMA ORDINARIO Y POR EL SISTEMA IMAN</t>
  </si>
  <si>
    <t>APLICABLE PARA: ASALARIADOS</t>
  </si>
  <si>
    <t>CUADRO COMPARATIVO ENTRE LAS RETENCIONES EN LA FUENTE MENSUALES POR EL SISTEMA ORDINARIO Y EL SISTEMA IMAN PARA ASALARIADOS</t>
  </si>
  <si>
    <t>Ingreso bruto mensual $20.000</t>
  </si>
  <si>
    <t>Aportes obligatorios a pensiones: 4/6% - Límite</t>
  </si>
  <si>
    <t>Aportes obligatorios a salud: 4% - Límite</t>
  </si>
  <si>
    <t>Porcentaje de aportes y deducciones:</t>
  </si>
  <si>
    <t>Porcentaje de intereses de vivienda  sobre el ingreso</t>
  </si>
  <si>
    <t>Cálculo del Impuesto de Renta</t>
  </si>
  <si>
    <t>Exceso de retención por el sistema IMAN</t>
  </si>
  <si>
    <t>Ingreso bruto mensual $30.000</t>
  </si>
  <si>
    <t>CUADRO COMPARATIVO ENTRE EL IMPUESTO DE RENTA POR EL SISTEMA ORDINARIO Y EL SISTEMA IMAN APLICABLE PARA: ASALARIADOS</t>
  </si>
  <si>
    <t>Más: fondo de solidaridad pensional (Sólo para empleados con salarios superiores a cuatro (4) salarios mínimos)</t>
  </si>
  <si>
    <t>Ingresos superiores a 4 SMMLV</t>
  </si>
  <si>
    <t>entre 16 y 17 SMMLV adicional a los anteriores</t>
  </si>
  <si>
    <t>entre 17 y 18 SMMLV adicional a los anteriores</t>
  </si>
  <si>
    <t>entre 18 y 19 SMMLV adicional a los anteriores</t>
  </si>
  <si>
    <t>entre 19 y 20 SMMLV adicional a los anteriores</t>
  </si>
  <si>
    <t>Más de 20 SMMLV adicional a los anteriores</t>
  </si>
  <si>
    <t>RANGO MENOR</t>
  </si>
  <si>
    <t>RANGO MAYOR</t>
  </si>
  <si>
    <t>APORTE FONDO DE SOLIDARIDAD PENSIONAL</t>
  </si>
  <si>
    <t>APORTE OBLIGATORIO</t>
  </si>
  <si>
    <t>APORTE TOTAL AL FONDO DE SOLIDARIDAD PENSIONAL</t>
  </si>
  <si>
    <t>TOTAL APORTE</t>
  </si>
  <si>
    <t>Ingresos inferior a 4 SMMLV</t>
  </si>
  <si>
    <t>En adelante</t>
  </si>
  <si>
    <t>SMML:</t>
  </si>
  <si>
    <t>Renta Gravable Alternativa Total anual desde</t>
  </si>
  <si>
    <t>Impuesto Mínimo en UVT</t>
  </si>
  <si>
    <t>Buscador</t>
  </si>
  <si>
    <t>RGA</t>
  </si>
  <si>
    <t>Rango menor</t>
  </si>
  <si>
    <t>Rango mayor</t>
  </si>
  <si>
    <t>Diferencia</t>
  </si>
  <si>
    <t>Rango inicial en UVT</t>
  </si>
  <si>
    <t>Rango final en UVT</t>
  </si>
  <si>
    <t>IMAN (en UVT)</t>
  </si>
  <si>
    <t>Salario devengado</t>
  </si>
  <si>
    <t>Aporte</t>
  </si>
  <si>
    <t>DIFERENCIA</t>
  </si>
  <si>
    <t>NO</t>
  </si>
  <si>
    <t>Intereses de vivienda</t>
  </si>
  <si>
    <t>Aportes voluntarios a fondos de pensiones</t>
  </si>
  <si>
    <t>Aportes a cuentas AFC</t>
  </si>
  <si>
    <t>Rangos en UVT</t>
  </si>
  <si>
    <t>Tarifa Marginal</t>
  </si>
  <si>
    <t>Impuesto</t>
  </si>
  <si>
    <t>Hasta</t>
  </si>
  <si>
    <t>(Ingreso laboral gravado expresado en UVT menos 95 UVT)*19%</t>
  </si>
  <si>
    <t>(Ingreso laboral gravado expresado en UVT menos 150 UVT)*28% más 10 UVT</t>
  </si>
  <si>
    <t>(Ingreso laboral gravado expresado en UVT menos 360 UVT)*33% más 69 UVT</t>
  </si>
  <si>
    <t>Tarifa marginal</t>
  </si>
  <si>
    <t>RF Mínima en UVT</t>
  </si>
  <si>
    <t>Rentención en la fuente</t>
  </si>
  <si>
    <t>ILGM</t>
  </si>
  <si>
    <t>MENSUAL</t>
  </si>
  <si>
    <t>ANUAL</t>
  </si>
  <si>
    <t>Aportes voluntarios a fondo de pensiones y cuentas AFC</t>
  </si>
  <si>
    <t>RETENCIÓN EN LA FUENTE POR EL SISTEMA ORDINARIO</t>
  </si>
  <si>
    <t>Planes complementarios de salud</t>
  </si>
  <si>
    <t>Tarifa de impto</t>
  </si>
  <si>
    <t>Renta liq.gravable</t>
  </si>
  <si>
    <t>Tarifa de impuesto de renta para personas naturales</t>
  </si>
  <si>
    <t>Desde</t>
  </si>
  <si>
    <t>IMPUESTO DE RENTA POR EL SISTEMA ORDINARIO</t>
  </si>
  <si>
    <t>IMPUESTO DE RENTA EQUIPARADO AL IMAN</t>
  </si>
  <si>
    <t>EQUIPARANDO A LA RF POR EL IMAN</t>
  </si>
  <si>
    <t>MAS: VALOR QUE ADICIONA A LA FORMULA DEL IMPUESTO</t>
  </si>
  <si>
    <t>BASE CALCULADA S/ LA RETENCIÓN DEL IMAN</t>
  </si>
  <si>
    <t>OK</t>
  </si>
  <si>
    <t>Valor a pagar ó (Saldo a favor)</t>
  </si>
  <si>
    <t>Deducción intereses de vivienda (Límite 100 UVT mensuales)</t>
  </si>
  <si>
    <t>RETENCIÓN EN LA FUENTE POR EL SISTEMA ORDINARIO EQUIPARADA CON EL IMAN</t>
  </si>
  <si>
    <t>Exceso de retención por el sistema IMAN/Sistema Ordinario</t>
  </si>
  <si>
    <t>Exceso de impuesto por el sistema IMAN/Sistema ordinario</t>
  </si>
  <si>
    <r>
      <t xml:space="preserve">Aportes obligatorios a pensiones </t>
    </r>
    <r>
      <rPr>
        <b/>
        <sz val="11"/>
        <color indexed="12"/>
        <rFont val="Calibri"/>
        <family val="2"/>
      </rPr>
      <t>PAGADOS POR EL TRABAJADOR</t>
    </r>
  </si>
  <si>
    <r>
      <t xml:space="preserve">Aportes obligatorios a ARL </t>
    </r>
    <r>
      <rPr>
        <b/>
        <sz val="11"/>
        <color indexed="12"/>
        <rFont val="Calibri"/>
        <family val="2"/>
      </rPr>
      <t>PAGADOS POR EL TRABAJADOR</t>
    </r>
  </si>
  <si>
    <r>
      <t xml:space="preserve">Aportes obligatorios a salud </t>
    </r>
    <r>
      <rPr>
        <b/>
        <sz val="11"/>
        <color indexed="12"/>
        <rFont val="Calibri"/>
        <family val="2"/>
      </rPr>
      <t>PAGADOS POR EL TRABAJADOR</t>
    </r>
  </si>
  <si>
    <t>Aportes obligatorios a administradoras de riesgos laborales</t>
  </si>
  <si>
    <t>PARA TRABAJADORES INDEPENDIENTES CON CATEGORÍA DE EMPLEADOS</t>
  </si>
  <si>
    <t>PARA ASALARIADOS CON CATEGORÍA DE EMPLEADOS</t>
  </si>
  <si>
    <t>PARA TRABAJADORES INDEPENDIENTES SIN CATEGORÍA DE EMPLEADOS</t>
  </si>
  <si>
    <t>TARIFAS DE RF</t>
  </si>
  <si>
    <t>IMAS</t>
  </si>
  <si>
    <t>Renta gravable alternativa anual desde (en UVT)</t>
  </si>
  <si>
    <t>IMAS (en UVT)</t>
  </si>
  <si>
    <t>Diferencia (1)</t>
  </si>
  <si>
    <t>Diferencia (2)</t>
  </si>
  <si>
    <t>EQUIPARANDO AL IMPTO DEL IMAN</t>
  </si>
  <si>
    <t>BASE CALCULADA S/ IMPTO POR EL IMAN</t>
  </si>
  <si>
    <t>Aporte max AFP/año</t>
  </si>
  <si>
    <t>Ingreso bruto por honorarios, comisiones y servicios</t>
  </si>
  <si>
    <t>El 80% o más de los ingresos brutos convierten al contribuyente en "EMPLEADO" para efectos tributarios?</t>
  </si>
  <si>
    <t>Costos y deducciones con relación de causalidad s/actividad</t>
  </si>
  <si>
    <t>Aportes obligatorios a pensiones: 6% ó 18%</t>
  </si>
  <si>
    <t>Deducción aportes obligatorios a salud: 4% ó 12.5%</t>
  </si>
  <si>
    <t>Ingresos no constitutivos de renta ni ganancia ocasional</t>
  </si>
  <si>
    <t>Ingreso por interseses y rendimientos financieros</t>
  </si>
  <si>
    <t>Ingreso por otros conceptos (Arrendamientos y otros)</t>
  </si>
  <si>
    <t>Retención en la fuente como "EMPLEADO"</t>
  </si>
  <si>
    <t>Retención en la fuente por otros conceptos</t>
  </si>
  <si>
    <t>Limitación AFP</t>
  </si>
  <si>
    <t>Limitación int.vvda</t>
  </si>
  <si>
    <t>Deducción por aportes a riesgos laborales</t>
  </si>
  <si>
    <t>Costos imputables a ingresos diferentes a ingresos laborales</t>
  </si>
  <si>
    <t>Monto de ingresos diferentes a los laborales, honorarios, comisiones y servicios que no permiten la optimización total del impuesto de renta frente al IMAN</t>
  </si>
  <si>
    <t>Renta líquida gravable (1)</t>
  </si>
  <si>
    <t>Renta líquida gravable (2)</t>
  </si>
  <si>
    <t>Base gravable en UVT</t>
  </si>
  <si>
    <t>Valor del impuesto de renta en UVT que igualaría al IMAN</t>
  </si>
  <si>
    <t>Valor del impuesto de renta en pesos que igualaría al IMAN</t>
  </si>
  <si>
    <t>IMPUESTO DE RENTA CON INGRESOS ADICIONALES AL DE LOS EMPLEADOS QUE NO PERMITEN LA OPTIMIZACIÓN TOTAL</t>
  </si>
  <si>
    <t>Renta líquida definitiva</t>
  </si>
  <si>
    <t>RETENCIÓN EN LA FUENTE POR EL SISTEMA ORDINARIO SIN TOMAR NINGÚN BENEFICIO TRIBUTARIO</t>
  </si>
  <si>
    <t>Retención en la fuente sin beneficios tributarios</t>
  </si>
  <si>
    <t>IMPUESTO DE RENTA SISTEMA ORDINARIO SIN BENEFICIOS</t>
  </si>
  <si>
    <t>IMPUESTO DE RENTA SIN BENEFICIOS TRIBUTARIOS</t>
  </si>
  <si>
    <t>AFP obligatorios por ingresos laborales (Entre 4% y 6%)</t>
  </si>
  <si>
    <t>AFP obligatorios como independiente (Entre 16% y 18%)</t>
  </si>
  <si>
    <t>APORTES COMO INDEPENDIENTE</t>
  </si>
  <si>
    <t>Aportes obligatorios a salud por ingresos laborales(4%)</t>
  </si>
  <si>
    <t>Aportes obligatorios a salud como independiente (12,5%)</t>
  </si>
  <si>
    <t>Impuesto de renta en pesos</t>
  </si>
  <si>
    <t>Deducción dependientes (límite 10% ó 32 UVT mensuales)</t>
  </si>
  <si>
    <t>Deducción salud particular (Límite 16 UVT mensuales)</t>
  </si>
  <si>
    <t>Aportes voluntarios a pensiones y cuentas AFC</t>
  </si>
  <si>
    <t>Max.3.800 UVT al año</t>
  </si>
  <si>
    <t>Aportes obligatorios</t>
  </si>
  <si>
    <t>Aportes voluntarios realizados</t>
  </si>
  <si>
    <t>Máx.30% del Ingreso laboral o tributario</t>
  </si>
  <si>
    <t>Rta liq gravable</t>
  </si>
  <si>
    <t>Renta exenta 25%</t>
  </si>
  <si>
    <t>Sumatoria</t>
  </si>
  <si>
    <t>Deducción maxima permitida</t>
  </si>
  <si>
    <t>Limitación costos</t>
  </si>
  <si>
    <t>Costos y deducciones totales sobre el ingreso</t>
  </si>
  <si>
    <t>Total ingreso bruto</t>
  </si>
  <si>
    <t>Subtotal (Base para calcular la renta exenta del 25%)</t>
  </si>
  <si>
    <t>RÉGIMEN</t>
  </si>
  <si>
    <t>ORDINARIO</t>
  </si>
  <si>
    <t xml:space="preserve">                                                     CÁLCULO DEL IMPUESTO SOBRE LA RENTA POR:                                                              EL SISTEMA ORDINARIO, POR EL SISTEMA IMAN Y POR EL SISTEMA IMAS</t>
  </si>
  <si>
    <t>25% renta exenta (Límite 240 UVT por mes)</t>
  </si>
  <si>
    <t>Limitación INCR</t>
  </si>
  <si>
    <t>Máximo anual de la renta exenta del 25%</t>
  </si>
  <si>
    <t>Costo de los independientes sobre el ingreso por honorarios</t>
  </si>
  <si>
    <t>Beneficios totales sobre el ingreso</t>
  </si>
  <si>
    <t>Aportes voluntarios y obligatorios sobre el ingreso</t>
  </si>
  <si>
    <t>Salarios</t>
  </si>
  <si>
    <t>Otros pagos (Constitutivos de Salario)</t>
  </si>
  <si>
    <t>Otros pagos (No Constitutivos de Salario)</t>
  </si>
  <si>
    <t>Dominicales y festivos</t>
  </si>
  <si>
    <t>Extras y festivos laborados</t>
  </si>
  <si>
    <t>Vacaciones</t>
  </si>
  <si>
    <t>Prima de servicios</t>
  </si>
  <si>
    <t>Aguinaldo</t>
  </si>
  <si>
    <t>Incapacidades</t>
  </si>
  <si>
    <t>Otros pagos laborales (auxilios, subsidios, bonificaciones, aportes de la empresa, otros)</t>
  </si>
  <si>
    <t>Cesantías e intereses sobre cesantías</t>
  </si>
  <si>
    <t>Menos: Cesantías e intereses sobre cesantías</t>
  </si>
  <si>
    <t>UVT aplicable para el año en que se plicará el porcentaje fijo</t>
  </si>
  <si>
    <t>Salario mínimo para el año en que se aplicará el porcentaje fijo</t>
  </si>
  <si>
    <t>Bonificaciones que constituyen salario</t>
  </si>
  <si>
    <t>Menos: Rentas exentas diferentes al 25%</t>
  </si>
  <si>
    <t>Menos: Ingresos exceptuados</t>
  </si>
  <si>
    <t>100% ingresos por salud y educación recibidos con las condiciones del Art.5 DR 3750/86</t>
  </si>
  <si>
    <t>Total ingresos devengados en el período</t>
  </si>
  <si>
    <t>Menos: Deducciones mensuales</t>
  </si>
  <si>
    <t>Ingreso bruto percibidos por relaciones laborales (Incluye cesantías e intereses)</t>
  </si>
  <si>
    <t>Total de ingresos brutos en el período (Base para el cálculo de la retención en la fuente)</t>
  </si>
  <si>
    <t>CALCULO DEL PORCENTAJE FIJO SEMESTRAL DE RETENCIÓN EN LA FUENTE</t>
  </si>
  <si>
    <t>VALOR</t>
  </si>
  <si>
    <t>PARTICIPACIÓN</t>
  </si>
  <si>
    <t>Período que comprende los pagos brutos laborales efectuados al trabajador:</t>
  </si>
  <si>
    <t>Reducción del período a meses y días:</t>
  </si>
  <si>
    <t>Retención en la fuente mensual en UVT</t>
  </si>
  <si>
    <t>TARIFA/UVT</t>
  </si>
  <si>
    <t>INGRESO OBTENIDO POR EL TRABAJADOR DURANTE EL PERÍODO DE CÁLCULO</t>
  </si>
  <si>
    <t>INFORMACIÓN CLAVE</t>
  </si>
  <si>
    <t>Ingresos laborales devengados durante los 12 meses anteriores (Base para el cálculo de retención)</t>
  </si>
  <si>
    <t>Porcentaje fijo de retención semestral</t>
  </si>
  <si>
    <t>Promedio mensual: (Ing.devengado dividido por 13 si laboró 12 meses o proporcional al tiempo laborado)</t>
  </si>
  <si>
    <t>INFORMACIÓN DEL AGENTE RETENEDOR</t>
  </si>
  <si>
    <t>Razón social</t>
  </si>
  <si>
    <t>NIT</t>
  </si>
  <si>
    <t>INFORMACIÓN DEL EMPLEADO</t>
  </si>
  <si>
    <t>Nombres y apellidos</t>
  </si>
  <si>
    <t>PERÍODO DE CÁLCULO</t>
  </si>
  <si>
    <t>C.C.</t>
  </si>
  <si>
    <t>Deducción dependientes (Límite 10% del ingreso bruto ó 32 UVT)</t>
  </si>
  <si>
    <t>Carrera 42 35 Sur 35, oficina 332</t>
  </si>
  <si>
    <t>Teléfonos 444 87 61 - 311 749 87 61</t>
  </si>
  <si>
    <t>CALCULO DE LA RETENCIÓN EN LA FUENTE POR EL SISTEMA IMAN</t>
  </si>
  <si>
    <t>UVT aplicable para el año en que se hace la comparación</t>
  </si>
  <si>
    <t>Salario mínimo para el año en que se hace la comparación</t>
  </si>
  <si>
    <t>INGRESO OBTENIDO POR EL TRABAJADOR DURANTE EL MES QUE SE COMPARA</t>
  </si>
  <si>
    <t>RETENCIÓN EN LA FUENTE POR EL SISTEMA IMAN</t>
  </si>
  <si>
    <t>Ingresos laborales devengados durante el mes (Base para el cálculo de retención)</t>
  </si>
  <si>
    <t>Total ingresos netos devengados en el período</t>
  </si>
  <si>
    <t>Retención en la fuente mínima mensual en UVT</t>
  </si>
  <si>
    <t>Retención en la fuente mínima mensual en pesos</t>
  </si>
  <si>
    <t>Total de ingresos brutos en el período (Base para el cálculo de retención en la fuente)</t>
  </si>
  <si>
    <t>ENERO</t>
  </si>
  <si>
    <t>FEBRERO</t>
  </si>
  <si>
    <t>MARZO</t>
  </si>
  <si>
    <t>ABRIL</t>
  </si>
  <si>
    <t>MAYO</t>
  </si>
  <si>
    <t>JUNIO</t>
  </si>
  <si>
    <t>JULIO</t>
  </si>
  <si>
    <t>AGOSTO</t>
  </si>
  <si>
    <t>SEPTIEMBRE</t>
  </si>
  <si>
    <t>OCTUBRE</t>
  </si>
  <si>
    <t>NOVIEMBRE</t>
  </si>
  <si>
    <t>DICIEMBRE</t>
  </si>
  <si>
    <t>Elija el mes para el cual desea hacer la comparación entre los sistemas ordinarios e IMAN</t>
  </si>
  <si>
    <t>No.Mes</t>
  </si>
  <si>
    <t>Mes</t>
  </si>
  <si>
    <t>Tarifas ARL</t>
  </si>
  <si>
    <t>CLASE DE RIESGO</t>
  </si>
  <si>
    <t>TARIFA​</t>
  </si>
  <si>
    <t>​ACTIVIDADES</t>
  </si>
  <si>
    <t>​I</t>
  </si>
  <si>
    <r>
      <t>​</t>
    </r>
    <r>
      <rPr>
        <b/>
        <sz val="11"/>
        <color indexed="59"/>
        <rFont val="Arial"/>
        <family val="2"/>
      </rPr>
      <t>0.522%</t>
    </r>
  </si>
  <si>
    <t>​Financieras, trabajos de oficina, administrativos, centros educativos, restaurantes.</t>
  </si>
  <si>
    <t>​II</t>
  </si>
  <si>
    <r>
      <t>​</t>
    </r>
    <r>
      <rPr>
        <b/>
        <sz val="11"/>
        <color indexed="59"/>
        <rFont val="Arial"/>
        <family val="2"/>
      </rPr>
      <t>1.044%</t>
    </r>
  </si>
  <si>
    <t>​Algunos procesos manufactureros como fabricación de tapetes, tejidos, confecciones y flores artificiales, almacén por departamentos, algunas labores agricolas.</t>
  </si>
  <si>
    <t>​III</t>
  </si>
  <si>
    <r>
      <t>​</t>
    </r>
    <r>
      <rPr>
        <b/>
        <sz val="11"/>
        <color indexed="59"/>
        <rFont val="Arial"/>
        <family val="2"/>
      </rPr>
      <t>2.436%</t>
    </r>
  </si>
  <si>
    <t>​Algunos procesos manufactureros como la fabricación de agujas, alcoholes y artículos de cuero.</t>
  </si>
  <si>
    <t>​IV</t>
  </si>
  <si>
    <r>
      <t>​</t>
    </r>
    <r>
      <rPr>
        <b/>
        <sz val="11"/>
        <color indexed="59"/>
        <rFont val="Arial"/>
        <family val="2"/>
      </rPr>
      <t>4.350%</t>
    </r>
  </si>
  <si>
    <t>​Procesos manufactureros como fabricación de aceites, cervezas, vidrios, procesos de galvanización, transportes y servicios de vigilancia privada.</t>
  </si>
  <si>
    <t>​V</t>
  </si>
  <si>
    <r>
      <t>​</t>
    </r>
    <r>
      <rPr>
        <b/>
        <sz val="11"/>
        <color indexed="59"/>
        <rFont val="Arial"/>
        <family val="2"/>
      </rPr>
      <t>​6.960%</t>
    </r>
  </si>
  <si>
    <t>​Areneras, manejo de asbesto, bomberos, manejo de explosivos, construcción y explotación petrolera.</t>
  </si>
  <si>
    <t>Retención en la fuente del mes por el sistema IMAN</t>
  </si>
  <si>
    <t>Retención en la fuente del mes por el sistema ordinario</t>
  </si>
  <si>
    <t>Ingreso Laboral Gravable Mensual en UVT</t>
  </si>
  <si>
    <t>Retención en la fuente definitiva del mes</t>
  </si>
  <si>
    <t>Porcentaje fijo de retención en la fuente semestral</t>
  </si>
  <si>
    <t>gerencia@asesoresenimpuestos.com</t>
  </si>
  <si>
    <t>www.asesoresenimpuestos.com</t>
  </si>
  <si>
    <t>Menos: Ingresos no constitutivos de renta ni ganancia ocasional (ANUAL)</t>
  </si>
  <si>
    <t>Menos: Ingresos exceptuados (PROMEDIO MENSUAL)</t>
  </si>
  <si>
    <t>Menos: Deducciones (MENSUALES)</t>
  </si>
  <si>
    <t>Otras rentas laborales exentas</t>
  </si>
  <si>
    <t>SI(n78=0;0;-(I22+I23+I24+I25+I26+I27+I28+I29+I30+I32+I34-L40)))</t>
  </si>
  <si>
    <t>Sumatoria de rentas exentas y deducciones</t>
  </si>
  <si>
    <t>​0.522%</t>
  </si>
  <si>
    <t>Retención en la fuente del mes en UVT</t>
  </si>
  <si>
    <t>Vr.Óptimo de aportes</t>
  </si>
  <si>
    <t>Menos: Rentas exentas (MENSUALES)</t>
  </si>
  <si>
    <t>Menos: Rentas exentas (MENSUAL)</t>
  </si>
  <si>
    <t>INFORMACIÓN DEL CONTRIBUYENTE</t>
  </si>
  <si>
    <t>Aportes obligatorios a salud por ingresos laborales (4%)</t>
  </si>
  <si>
    <t>Menos: Ingresos no constitutivos de renta ni ganancia ocasional (MENSUAL)</t>
  </si>
  <si>
    <t>Menos: Deducciones (ANUALES)</t>
  </si>
  <si>
    <t>Ingreso Laboral Gravable en Pesos</t>
  </si>
  <si>
    <t>Ingreso Laboral Gravable en UVT</t>
  </si>
  <si>
    <t>Tarifa del impuesto de renta anual</t>
  </si>
  <si>
    <t>Impuesto de renta en UVT</t>
  </si>
  <si>
    <t>Aumento (disminución)</t>
  </si>
  <si>
    <t xml:space="preserve"> aportes para vr.óptimo</t>
  </si>
  <si>
    <t>Cálculo de las cesantías e intereses de cesantías exentas (Nral.4º Art.206 E.T.)</t>
  </si>
  <si>
    <t>Fecha de inicio de labores durante el presente año</t>
  </si>
  <si>
    <t>Fecha final de labores durante el presente año</t>
  </si>
  <si>
    <t>Total días trabajados</t>
  </si>
  <si>
    <t>Columna1</t>
  </si>
  <si>
    <t>Columna2</t>
  </si>
  <si>
    <t>Columna3</t>
  </si>
  <si>
    <t>Columna4</t>
  </si>
  <si>
    <t>Columna5</t>
  </si>
  <si>
    <t>Columna6</t>
  </si>
  <si>
    <t>Columna7</t>
  </si>
  <si>
    <t>DETALLE DEL RENGLÓN DE INGRESOS LABORALES (ANEXO DE INGRESOS)</t>
  </si>
  <si>
    <t>SALARIOS, PRESTACIONES SOCIALES Y DEMÁS PAGOS CONSTITUTIVOS DE SALARIO</t>
  </si>
  <si>
    <t>OTROS INGRESOS LABORALES NO CONSTITUTIVOS DE SALARIO</t>
  </si>
  <si>
    <t>RETIRO DE CUENTAS AFC PROVENIENTES DE INGRESOS LABORALES</t>
  </si>
  <si>
    <t>RETIRO DE FONDO DE PENSIONES PROVENIENTES DE INGRESOS LABORALES</t>
  </si>
  <si>
    <t>PENSIONES DE JUBILACIÓN, VEJEZ O INVALIDEZ</t>
  </si>
  <si>
    <t>Concepto</t>
  </si>
  <si>
    <t>Valor</t>
  </si>
  <si>
    <t>Total</t>
  </si>
  <si>
    <t>Parte gravada de las cesantías e int. (Nral.4º Art 206 E.T.)</t>
  </si>
  <si>
    <t>PARTE EXENTA DE LAS CESANTÍAS E INTERESES SOBRE CESANTÍAS</t>
  </si>
  <si>
    <t>Costos imputables a ingresos diferentes a los laborales</t>
  </si>
  <si>
    <t>Total de ingresos brutos en el período</t>
  </si>
  <si>
    <t>Menos: Rentas exentas (ANUAL)</t>
  </si>
  <si>
    <t>Deducción intereses de vivienda (Límite 1.200 UVT ANUALES)</t>
  </si>
  <si>
    <t>Deducción salud particular (Límite 192 UVT ANUALES)</t>
  </si>
  <si>
    <t>Deducción dependientes (Límite 10% del ingreso bruto ó 384 UVT ANUALES)</t>
  </si>
  <si>
    <t>Otras rentas laborales exentas (Cesantías e intereses de cesantías)</t>
  </si>
  <si>
    <t>ARL</t>
  </si>
  <si>
    <t>I</t>
  </si>
  <si>
    <t>II</t>
  </si>
  <si>
    <t>III</t>
  </si>
  <si>
    <t>IV</t>
  </si>
  <si>
    <t>V</t>
  </si>
  <si>
    <t>Cesantías e intereses sobre cesantías exentas</t>
  </si>
  <si>
    <t>Gravado</t>
  </si>
  <si>
    <t>Cálculo de renta exenta sobre cesantías e intereses</t>
  </si>
  <si>
    <t>Parte no gravada</t>
  </si>
  <si>
    <t>Parte gravada</t>
  </si>
  <si>
    <t>Menos: 25% renta exenta (Límite 2.880 UVT)</t>
  </si>
  <si>
    <t>Menos: 25% renta exenta (Límite 240 UVT, equivalente al 20% de los ingresos devengados en el período)</t>
  </si>
  <si>
    <t>Menos: 25% renta exenta (Límite 240 UVT)</t>
  </si>
  <si>
    <t>Intereses de vivienda (Promedio mensual tomado del cálculo del porcentaje fijo)</t>
  </si>
  <si>
    <t>Planes complementarios de salud (Promedio tomado del cálculo del porcentaje fijo)</t>
  </si>
  <si>
    <t>RETENCIÓN EN LA FUENTE PARA EL PROCEDIMIENTO No.1</t>
  </si>
  <si>
    <t>Porcentaje de retención en la fuente para el presente mes</t>
  </si>
  <si>
    <t>DECLARACIÓN DE RENTAS  LABORALES</t>
  </si>
  <si>
    <t>Aportes voluntarios fondo de pensiones y cuentas AFC ==&gt; Los aportes están optimizados?</t>
  </si>
  <si>
    <r>
      <t>Aportes obligatorios a ARL (</t>
    </r>
    <r>
      <rPr>
        <b/>
        <sz val="11"/>
        <color indexed="12"/>
        <rFont val="Calibri"/>
        <family val="2"/>
      </rPr>
      <t>PAGADOS POR EL TRABAJADOR)</t>
    </r>
  </si>
  <si>
    <t>Total ingresos NETOS devengados en el período</t>
  </si>
  <si>
    <t>Subtotal (Base para calcular el 25 % de renta exenta)</t>
  </si>
  <si>
    <t>Subtotal (Base gravable mensual provisional)</t>
  </si>
  <si>
    <t>Cantidad máxima de deducciones y rentas exentas (Máximo el 40% del ingreso NETO mensual)</t>
  </si>
  <si>
    <t>Ingreso Laboral Gravable Mensual en Pesos (Base de retención en la fuente)</t>
  </si>
  <si>
    <t>Ingreso Laboral Gravable Mensual en UVT (Base de rentención en la fuente)</t>
  </si>
  <si>
    <t>Menos: Ingresos exceptuados (ANUAL)</t>
  </si>
  <si>
    <t>Impuesto de renta del año (En pesos)</t>
  </si>
  <si>
    <t>Retención en la fuente del mes (En pesos)</t>
  </si>
  <si>
    <t>Cantidad máxima de deducciones y rentas exentas (Máximo el 40% del ingreso NETO del año)</t>
  </si>
  <si>
    <t>Renglón</t>
  </si>
  <si>
    <t>Si el renglón 45 es mayor que el renglón 46, sume la diferencia entre las dos partidas</t>
  </si>
  <si>
    <t>Si el renglón 41 es mayor que el renglón 42, sume la diferencia entre las dos partidas</t>
  </si>
  <si>
    <t>Si el renglón 37 es mayor que el renglón 38, sume la diferencia entre las dos partidas</t>
  </si>
  <si>
    <t>Promedio mensual de ingresos NETOS: (Renglón 34 divido 13 si laboró 12 meses o proporcional al tiempo laborado)</t>
  </si>
  <si>
    <t>DECLARACIÓN DE RENTA POR LA CÉDULA DE RENTAS DE TRABAJO</t>
  </si>
  <si>
    <t xml:space="preserve">Límitación de aportes voluntarios fondo de pensiones y cuentas AFC </t>
  </si>
  <si>
    <t>En UVT</t>
  </si>
  <si>
    <t>En pesos con la UVT para la hoja del calculo de ret.fte procedimiento 2</t>
  </si>
  <si>
    <t>En pesos con la UVT para la hoja del calculo de ret.fte procedimiento 1</t>
  </si>
  <si>
    <t>En pesos con la UVT para la hoja del calculo del % fijo de ret.fte</t>
  </si>
  <si>
    <t>En pesos con la UVT para la hoja de planeación de la declaración de renta</t>
  </si>
  <si>
    <t>CALCULO DE RETENCIÓN EN LA FUENTE MENSUAL POR EMPLEADO</t>
  </si>
  <si>
    <t>PROCEDIMIENTO No.2</t>
  </si>
  <si>
    <t>PROCEDIMIENTO No.1</t>
  </si>
  <si>
    <t>Salarios y demás rentas de trabajo</t>
  </si>
  <si>
    <t>Ingreso bruto por honorarios, comisiones, servicios y demás rentas de trabajo</t>
  </si>
  <si>
    <t>INGRESO OBTENIDO POR EL TRABAJADOR DURANTE EL AÑO GRAVABLE</t>
  </si>
  <si>
    <t>TOTAL DE LAS CESANTÍAS E INTERESES A LAS CESANTÍAS GRAVADAS Y NO GRAVADAS</t>
  </si>
  <si>
    <t>Salario mensual promedio de los últimos seis (6) meses (En UVT)</t>
  </si>
  <si>
    <t>Salario mensual promedio de los últimos seis (6) meses (En Pesos)</t>
  </si>
  <si>
    <t>Cesantías e intereses sobre cesantías pagadas por el empleador</t>
  </si>
  <si>
    <t>Más: Valor de los retiros de los fondos de cesantías certificados como exentos</t>
  </si>
  <si>
    <t>Valor de las cesantías e intereses sobre las cesantías pagadas por el empleador (gravadas y no gravadas)</t>
  </si>
  <si>
    <t>Subtotal: Cesantías e intereses sobre las cesantías no gravadas</t>
  </si>
  <si>
    <t>Cesantías e intereses sobre cesantías + retiros de fondos de cesantías (gravadas y no gravadas)</t>
  </si>
  <si>
    <t>Valor de los retiros de los fondos de cesantías (Gravados y no gravados)</t>
  </si>
  <si>
    <t xml:space="preserve"> Aportes voluntarios a fondos de pensiones y cuentas AFC</t>
  </si>
  <si>
    <t>Escriba en esta casilla el valor de los aportes obligatorios a salud cuando el valor calculado sea diferente al valor real o cuando se trate de un empleado con salario integral</t>
  </si>
  <si>
    <t>Escriba en esta casilla el valor de los aportes obligatorios a fondos de pensiones cuando el valor calculado sea diferente al valor real o cuando se trate de un empleado con salario integral</t>
  </si>
  <si>
    <r>
      <t xml:space="preserve">Planes complementarios de salud </t>
    </r>
    <r>
      <rPr>
        <b/>
        <sz val="11"/>
        <color rgb="FF0033CC"/>
        <rFont val="Calibri"/>
        <family val="2"/>
        <scheme val="minor"/>
      </rPr>
      <t>(Promedio mensual)</t>
    </r>
  </si>
  <si>
    <r>
      <t xml:space="preserve">Intereses de vivienda </t>
    </r>
    <r>
      <rPr>
        <b/>
        <sz val="11"/>
        <color rgb="FF0033CC"/>
        <rFont val="Calibri"/>
        <family val="2"/>
        <scheme val="minor"/>
      </rPr>
      <t>(Promedio mensual)</t>
    </r>
  </si>
  <si>
    <r>
      <t xml:space="preserve">Aportes a cuentas AFC </t>
    </r>
    <r>
      <rPr>
        <b/>
        <sz val="11"/>
        <color rgb="FF0033CC"/>
        <rFont val="Calibri"/>
        <family val="2"/>
        <scheme val="minor"/>
      </rPr>
      <t>(Realizados en el período objeto del cálculo)</t>
    </r>
  </si>
  <si>
    <r>
      <t xml:space="preserve">Aportes voluntarios a fondos de pensiones </t>
    </r>
    <r>
      <rPr>
        <b/>
        <sz val="11"/>
        <color rgb="FF0033CC"/>
        <rFont val="Calibri"/>
        <family val="2"/>
        <scheme val="minor"/>
      </rPr>
      <t>(Realizados en el período objeto del cálculo)</t>
    </r>
  </si>
  <si>
    <t>Salario mínimo vigente establecido en la hoja del cálculo de porcentaje fijo</t>
  </si>
  <si>
    <t xml:space="preserve">Cantidad de salarios sobre el cual se calcula el aporte máximo </t>
  </si>
  <si>
    <t>IBC max.de aportes</t>
  </si>
  <si>
    <t>Salario mínimo vigente establecido en la hoja del cálculo de pprocedimiento No.2</t>
  </si>
  <si>
    <t>Salario mínimo vigente establecido en la hoja del cálculo de pprocedimiento No.1</t>
  </si>
  <si>
    <t>Salario mínimo vigente establecido en la hoja de la declaración de renta</t>
  </si>
  <si>
    <t>IBC MÁXIMO PARA EL CÁLCULO DE SALUD, PENSIÓN Y RIESGOS LABORALES</t>
  </si>
  <si>
    <t>SMMLV</t>
  </si>
  <si>
    <t>APORTES COMO ASALARIADO PARA EL CÁLCULO DEL PORCENTAJE FIJO</t>
  </si>
  <si>
    <t>APORTES COMO ASALARIADO PARA EL CÁLCULO MENSUAL PROCEDIMIENTO No.2</t>
  </si>
  <si>
    <t>APORTES COMO ASALARIADO PARA EL CÁLCULO MENSUAL PROCEDIMIENTO No.1</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</si>
</sst>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_-;\-* #,##0.00\ _€_-;_-* &quot;-&quot;??\ _€_-;_-@_-"/>
    <numFmt numFmtId="164" formatCode="&quot;$&quot;\ #,##0_);\(&quot;$&quot;\ #,##0\)"/>
    <numFmt numFmtId="165" formatCode="&quot;$&quot;\ #,##0_);[Red]\(&quot;$&quot;\ #,##0\)"/>
    <numFmt numFmtId="166" formatCode="_(* #,##0.00_);_(* \(#,##0.00\);_(* &quot;-&quot;??_);_(@_)"/>
    <numFmt numFmtId="167" formatCode="#,##0.000_);\(#,##0.000\)"/>
    <numFmt numFmtId="168" formatCode="0.0%"/>
    <numFmt numFmtId="169" formatCode="0.000%"/>
    <numFmt numFmtId="170" formatCode="&quot;$&quot;\ #,##0"/>
    <numFmt numFmtId="171" formatCode="_ * #,##0.00_ ;_ * \-#,##0.00_ ;_ * &quot;-&quot;??_ ;_ @_ "/>
    <numFmt numFmtId="172" formatCode="_ * #,##0_ ;_ * \-#,##0_ ;_ * &quot;-&quot;??_ ;_ @_ "/>
    <numFmt numFmtId="173" formatCode="_-* #,##0.000\ _€_-;\-* #,##0.000\ _€_-;_-* &quot;-&quot;??\ _€_-;_-@_-"/>
    <numFmt numFmtId="174" formatCode="_(* #,##0_);_(* \(#,##0\);_(* &quot;-&quot;??_);_(@_)"/>
    <numFmt numFmtId="175" formatCode="[$-409]d\-mmm\-yy;@"/>
    <numFmt numFmtId="176" formatCode="&quot;$&quot;\ #,##0.0000_);[Red]\(&quot;$&quot;\ #,##0.0000\)"/>
    <numFmt numFmtId="177" formatCode="dd\-mm\-yy;@"/>
    <numFmt numFmtId="178" formatCode="&quot;$&quot;#,##0"/>
    <numFmt numFmtId="179" formatCode="dd/mm/yyyy;@"/>
  </numFmts>
  <fonts count="84" x14ac:knownFonts="1">
    <font>
      <sz val="11"/>
      <color theme="1"/>
      <name val="Calibri"/>
      <family val="2"/>
      <scheme val="minor"/>
    </font>
    <font>
      <b/>
      <sz val="10"/>
      <name val="Arial"/>
      <family val="2"/>
    </font>
    <font>
      <sz val="9"/>
      <name val="Arial"/>
      <family val="2"/>
    </font>
    <font>
      <sz val="10"/>
      <name val="Arial"/>
      <family val="2"/>
    </font>
    <font>
      <b/>
      <sz val="10"/>
      <color indexed="12"/>
      <name val="Arial"/>
      <family val="2"/>
    </font>
    <font>
      <sz val="9"/>
      <color indexed="81"/>
      <name val="Tahoma"/>
      <family val="2"/>
    </font>
    <font>
      <b/>
      <sz val="9"/>
      <color indexed="81"/>
      <name val="Tahoma"/>
      <family val="2"/>
    </font>
    <font>
      <b/>
      <sz val="9"/>
      <name val="Arial"/>
      <family val="2"/>
    </font>
    <font>
      <b/>
      <sz val="8"/>
      <name val="Arial"/>
      <family val="2"/>
    </font>
    <font>
      <b/>
      <sz val="11"/>
      <color indexed="12"/>
      <name val="Calibri"/>
      <family val="2"/>
    </font>
    <font>
      <b/>
      <sz val="11"/>
      <name val="Symbol"/>
      <family val="1"/>
      <charset val="2"/>
    </font>
    <font>
      <b/>
      <sz val="14"/>
      <name val="Arial"/>
      <family val="2"/>
    </font>
    <font>
      <b/>
      <u/>
      <sz val="9"/>
      <color indexed="81"/>
      <name val="Tahoma"/>
      <family val="2"/>
    </font>
    <font>
      <b/>
      <sz val="10"/>
      <color indexed="12"/>
      <name val="Century Gothic"/>
      <family val="2"/>
    </font>
    <font>
      <b/>
      <sz val="11"/>
      <color indexed="59"/>
      <name val="Arial"/>
      <family val="2"/>
    </font>
    <font>
      <sz val="11"/>
      <color theme="1"/>
      <name val="Calibri"/>
      <family val="2"/>
      <scheme val="minor"/>
    </font>
    <font>
      <sz val="11"/>
      <color theme="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1"/>
      <color theme="1"/>
      <name val="Symbol"/>
      <family val="1"/>
      <charset val="2"/>
    </font>
    <font>
      <sz val="11"/>
      <color theme="1"/>
      <name val="Symbol"/>
      <family val="1"/>
      <charset val="2"/>
    </font>
    <font>
      <b/>
      <sz val="14"/>
      <color theme="1"/>
      <name val="Symbol"/>
      <family val="1"/>
      <charset val="2"/>
    </font>
    <font>
      <b/>
      <sz val="9"/>
      <color rgb="FF000000"/>
      <name val="Georgia"/>
      <family val="1"/>
    </font>
    <font>
      <sz val="9"/>
      <color rgb="FF000000"/>
      <name val="Georgia"/>
      <family val="1"/>
    </font>
    <font>
      <sz val="9"/>
      <color theme="1"/>
      <name val="Calibri"/>
      <family val="2"/>
      <scheme val="minor"/>
    </font>
    <font>
      <sz val="10"/>
      <color theme="1"/>
      <name val="Calibri"/>
      <family val="2"/>
      <scheme val="minor"/>
    </font>
    <font>
      <sz val="10"/>
      <color rgb="FF000000"/>
      <name val="Georgia"/>
      <family val="1"/>
    </font>
    <font>
      <sz val="8"/>
      <color theme="1"/>
      <name val="Calibri"/>
      <family val="2"/>
      <scheme val="minor"/>
    </font>
    <font>
      <b/>
      <sz val="9"/>
      <color theme="1"/>
      <name val="Calibri"/>
      <family val="2"/>
      <scheme val="minor"/>
    </font>
    <font>
      <sz val="11"/>
      <name val="Calibri"/>
      <family val="2"/>
      <scheme val="minor"/>
    </font>
    <font>
      <b/>
      <sz val="8"/>
      <color rgb="FF000000"/>
      <name val="Georgia"/>
      <family val="1"/>
    </font>
    <font>
      <b/>
      <sz val="10"/>
      <color rgb="FF000000"/>
      <name val="Georgia"/>
      <family val="1"/>
    </font>
    <font>
      <b/>
      <sz val="10"/>
      <color theme="1"/>
      <name val="Arial Unicode MS"/>
      <family val="2"/>
    </font>
    <font>
      <b/>
      <sz val="9"/>
      <color rgb="FFFF0000"/>
      <name val="Arial"/>
      <family val="2"/>
    </font>
    <font>
      <b/>
      <sz val="11"/>
      <color rgb="FF0C08B8"/>
      <name val="Calibri"/>
      <family val="2"/>
      <scheme val="minor"/>
    </font>
    <font>
      <b/>
      <sz val="12"/>
      <color rgb="FF0C08B8"/>
      <name val="Calibri"/>
      <family val="2"/>
      <scheme val="minor"/>
    </font>
    <font>
      <b/>
      <sz val="11"/>
      <color rgb="FF1A0597"/>
      <name val="Calibri"/>
      <family val="2"/>
      <scheme val="minor"/>
    </font>
    <font>
      <b/>
      <sz val="11"/>
      <color rgb="FF002060"/>
      <name val="Calibri"/>
      <family val="2"/>
      <scheme val="minor"/>
    </font>
    <font>
      <b/>
      <sz val="9"/>
      <color rgb="FFFFFF00"/>
      <name val="Calibri"/>
      <family val="2"/>
      <scheme val="minor"/>
    </font>
    <font>
      <b/>
      <sz val="11"/>
      <name val="Calibri"/>
      <family val="2"/>
      <scheme val="minor"/>
    </font>
    <font>
      <b/>
      <sz val="8"/>
      <color theme="1"/>
      <name val="Calibri"/>
      <family val="2"/>
      <scheme val="minor"/>
    </font>
    <font>
      <b/>
      <sz val="10"/>
      <color theme="1"/>
      <name val="Calibri"/>
      <family val="2"/>
      <scheme val="minor"/>
    </font>
    <font>
      <b/>
      <sz val="10"/>
      <color rgb="FFFFFF00"/>
      <name val="Calibri"/>
      <family val="2"/>
      <scheme val="minor"/>
    </font>
    <font>
      <b/>
      <sz val="7"/>
      <color theme="1"/>
      <name val="Calibri"/>
      <family val="2"/>
      <scheme val="minor"/>
    </font>
    <font>
      <b/>
      <sz val="6"/>
      <color theme="0"/>
      <name val="Calibri"/>
      <family val="2"/>
      <scheme val="minor"/>
    </font>
    <font>
      <b/>
      <u/>
      <sz val="11"/>
      <color theme="1"/>
      <name val="Calibri"/>
      <family val="2"/>
      <scheme val="minor"/>
    </font>
    <font>
      <b/>
      <sz val="11"/>
      <color rgb="FF0033CC"/>
      <name val="Calibri"/>
      <family val="2"/>
      <scheme val="minor"/>
    </font>
    <font>
      <b/>
      <sz val="10"/>
      <color rgb="FF0033CC"/>
      <name val="Century Gothic"/>
      <family val="2"/>
    </font>
    <font>
      <b/>
      <sz val="12"/>
      <color theme="0"/>
      <name val="Calibri"/>
      <family val="2"/>
      <scheme val="minor"/>
    </font>
    <font>
      <b/>
      <sz val="9"/>
      <color rgb="FF1A0597"/>
      <name val="Calibri"/>
      <family val="2"/>
      <scheme val="minor"/>
    </font>
    <font>
      <b/>
      <sz val="8"/>
      <color theme="0"/>
      <name val="Calibri"/>
      <family val="2"/>
      <scheme val="minor"/>
    </font>
    <font>
      <sz val="8"/>
      <color theme="0"/>
      <name val="Calibri"/>
      <family val="2"/>
      <scheme val="minor"/>
    </font>
    <font>
      <sz val="8"/>
      <color theme="1"/>
      <name val="Symbol"/>
      <family val="1"/>
      <charset val="2"/>
    </font>
    <font>
      <b/>
      <sz val="9"/>
      <color rgb="FF0033CC"/>
      <name val="Calibri"/>
      <family val="2"/>
      <scheme val="minor"/>
    </font>
    <font>
      <b/>
      <sz val="12"/>
      <color rgb="FF0033CC"/>
      <name val="Calibri"/>
      <family val="2"/>
      <scheme val="minor"/>
    </font>
    <font>
      <sz val="11"/>
      <color rgb="FF4C2600"/>
      <name val="Arial"/>
      <family val="2"/>
    </font>
    <font>
      <b/>
      <sz val="14"/>
      <color theme="1"/>
      <name val="Calibri"/>
      <family val="2"/>
      <scheme val="minor"/>
    </font>
    <font>
      <b/>
      <sz val="11"/>
      <color rgb="FF4C2600"/>
      <name val="Arial"/>
      <family val="2"/>
    </font>
    <font>
      <b/>
      <sz val="18"/>
      <color theme="0"/>
      <name val="Calibri"/>
      <family val="2"/>
      <scheme val="minor"/>
    </font>
    <font>
      <b/>
      <sz val="18"/>
      <color theme="1"/>
      <name val="Calibri"/>
      <family val="2"/>
      <scheme val="minor"/>
    </font>
    <font>
      <sz val="10"/>
      <name val="Arial"/>
      <family val="2"/>
    </font>
    <font>
      <b/>
      <sz val="10"/>
      <color theme="0"/>
      <name val="Calibri"/>
      <family val="2"/>
      <scheme val="minor"/>
    </font>
    <font>
      <u/>
      <sz val="11"/>
      <color theme="10"/>
      <name val="Calibri"/>
      <family val="2"/>
      <scheme val="minor"/>
    </font>
    <font>
      <b/>
      <sz val="14"/>
      <color theme="0"/>
      <name val="Calibri"/>
      <family val="2"/>
      <scheme val="minor"/>
    </font>
    <font>
      <b/>
      <sz val="11"/>
      <name val="Verdana"/>
      <family val="2"/>
    </font>
    <font>
      <b/>
      <sz val="10"/>
      <name val="Verdana"/>
      <family val="2"/>
    </font>
    <font>
      <sz val="10"/>
      <name val="Verdana"/>
      <family val="2"/>
    </font>
    <font>
      <sz val="11"/>
      <name val="Verdana"/>
      <family val="2"/>
    </font>
    <font>
      <b/>
      <sz val="11"/>
      <color indexed="62"/>
      <name val="Verdana"/>
      <family val="2"/>
    </font>
    <font>
      <b/>
      <sz val="11"/>
      <color theme="0"/>
      <name val="Verdana"/>
      <family val="2"/>
    </font>
    <font>
      <sz val="11"/>
      <color theme="0"/>
      <name val="Verdana"/>
      <family val="2"/>
    </font>
    <font>
      <sz val="16"/>
      <color theme="1"/>
      <name val="Calibri"/>
      <family val="2"/>
      <scheme val="minor"/>
    </font>
    <font>
      <b/>
      <sz val="11"/>
      <color rgb="FF0033CC"/>
      <name val="Verdana"/>
      <family val="2"/>
    </font>
    <font>
      <b/>
      <sz val="9"/>
      <name val="Calibri"/>
      <family val="2"/>
      <scheme val="minor"/>
    </font>
    <font>
      <b/>
      <sz val="9"/>
      <color theme="0"/>
      <name val="Calibri"/>
      <family val="2"/>
      <scheme val="minor"/>
    </font>
    <font>
      <b/>
      <sz val="10"/>
      <color rgb="FF0033CC"/>
      <name val="Arial"/>
      <family val="2"/>
    </font>
    <font>
      <b/>
      <sz val="16"/>
      <color rgb="FF0033CC"/>
      <name val="Calibri"/>
      <family val="2"/>
      <scheme val="minor"/>
    </font>
    <font>
      <sz val="11"/>
      <color rgb="FF0033CC"/>
      <name val="Calibri"/>
      <family val="2"/>
      <scheme val="minor"/>
    </font>
    <font>
      <sz val="10"/>
      <color theme="0"/>
      <name val="Verdana"/>
      <family val="2"/>
    </font>
    <font>
      <b/>
      <u/>
      <sz val="11"/>
      <color theme="0"/>
      <name val="Verdana"/>
      <family val="2"/>
    </font>
    <font>
      <b/>
      <sz val="16"/>
      <name val="Verdana"/>
      <family val="2"/>
    </font>
    <font>
      <b/>
      <sz val="20"/>
      <color rgb="FF0033CC"/>
      <name val="Calibri"/>
      <family val="2"/>
      <scheme val="minor"/>
    </font>
  </fonts>
  <fills count="1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FFFF00"/>
        <bgColor indexed="64"/>
      </patternFill>
    </fill>
    <fill>
      <patternFill patternType="solid">
        <fgColor rgb="FFFF0000"/>
        <bgColor indexed="64"/>
      </patternFill>
    </fill>
    <fill>
      <patternFill patternType="solid">
        <fgColor rgb="FF7030A0"/>
        <bgColor indexed="64"/>
      </patternFill>
    </fill>
    <fill>
      <patternFill patternType="solid">
        <fgColor rgb="FFFFC000"/>
        <bgColor indexed="64"/>
      </patternFill>
    </fill>
    <fill>
      <patternFill patternType="solid">
        <fgColor rgb="FF0070C0"/>
        <bgColor indexed="64"/>
      </patternFill>
    </fill>
    <fill>
      <patternFill patternType="solid">
        <fgColor rgb="FF002060"/>
        <bgColor indexed="64"/>
      </patternFill>
    </fill>
    <fill>
      <patternFill patternType="solid">
        <fgColor rgb="FF00FF00"/>
        <bgColor indexed="64"/>
      </patternFill>
    </fill>
  </fills>
  <borders count="111">
    <border>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363435"/>
      </bottom>
      <diagonal/>
    </border>
    <border>
      <left style="thin">
        <color rgb="FF000000"/>
      </left>
      <right style="medium">
        <color rgb="FF363435"/>
      </right>
      <top/>
      <bottom style="medium">
        <color rgb="FF363435"/>
      </bottom>
      <diagonal/>
    </border>
    <border>
      <left/>
      <right style="thin">
        <color rgb="FF000000"/>
      </right>
      <top/>
      <bottom style="medium">
        <color rgb="FF363435"/>
      </bottom>
      <diagonal/>
    </border>
    <border>
      <left style="medium">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medium">
        <color rgb="FF000000"/>
      </left>
      <right style="medium">
        <color rgb="FF363435"/>
      </right>
      <top style="medium">
        <color indexed="64"/>
      </top>
      <bottom style="medium">
        <color rgb="FF363435"/>
      </bottom>
      <diagonal/>
    </border>
    <border>
      <left style="medium">
        <color rgb="FF000000"/>
      </left>
      <right style="medium">
        <color rgb="FF363435"/>
      </right>
      <top/>
      <bottom style="medium">
        <color rgb="FF363435"/>
      </bottom>
      <diagonal/>
    </border>
    <border>
      <left style="medium">
        <color indexed="64"/>
      </left>
      <right/>
      <top style="medium">
        <color theme="0"/>
      </top>
      <bottom/>
      <diagonal/>
    </border>
    <border>
      <left/>
      <right/>
      <top style="medium">
        <color theme="0"/>
      </top>
      <bottom/>
      <diagonal/>
    </border>
    <border>
      <left style="thin">
        <color indexed="64"/>
      </left>
      <right style="thin">
        <color indexed="64"/>
      </right>
      <top style="medium">
        <color theme="0"/>
      </top>
      <bottom/>
      <diagonal/>
    </border>
    <border>
      <left/>
      <right style="medium">
        <color indexed="64"/>
      </right>
      <top style="medium">
        <color theme="0"/>
      </top>
      <bottom/>
      <diagonal/>
    </border>
    <border>
      <left style="medium">
        <color rgb="FFBFBFBF"/>
      </left>
      <right style="medium">
        <color rgb="FFBFBFBF"/>
      </right>
      <top style="medium">
        <color rgb="FFBFBFBF"/>
      </top>
      <bottom style="medium">
        <color rgb="FFBFBFBF"/>
      </bottom>
      <diagonal/>
    </border>
    <border>
      <left style="thick">
        <color rgb="FFFFC000"/>
      </left>
      <right style="thick">
        <color rgb="FFFFC000"/>
      </right>
      <top style="thick">
        <color rgb="FFFFC000"/>
      </top>
      <bottom/>
      <diagonal/>
    </border>
    <border>
      <left style="thick">
        <color rgb="FFFFC000"/>
      </left>
      <right style="thick">
        <color rgb="FFFFC000"/>
      </right>
      <top/>
      <bottom/>
      <diagonal/>
    </border>
    <border>
      <left style="thick">
        <color rgb="FFFFC000"/>
      </left>
      <right style="thick">
        <color rgb="FFFFC000"/>
      </right>
      <top/>
      <bottom style="thick">
        <color rgb="FFFFC000"/>
      </bottom>
      <diagonal/>
    </border>
    <border>
      <left style="medium">
        <color indexed="64"/>
      </left>
      <right/>
      <top style="medium">
        <color theme="0"/>
      </top>
      <bottom style="medium">
        <color indexed="64"/>
      </bottom>
      <diagonal/>
    </border>
    <border>
      <left/>
      <right/>
      <top style="medium">
        <color theme="0"/>
      </top>
      <bottom style="medium">
        <color indexed="64"/>
      </bottom>
      <diagonal/>
    </border>
    <border>
      <left style="thin">
        <color indexed="64"/>
      </left>
      <right style="thin">
        <color indexed="64"/>
      </right>
      <top style="medium">
        <color theme="0"/>
      </top>
      <bottom style="medium">
        <color indexed="64"/>
      </bottom>
      <diagonal/>
    </border>
    <border>
      <left/>
      <right style="medium">
        <color indexed="64"/>
      </right>
      <top style="medium">
        <color theme="0"/>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style="medium">
        <color indexed="64"/>
      </top>
      <bottom/>
      <diagonal/>
    </border>
    <border>
      <left/>
      <right style="thick">
        <color auto="1"/>
      </right>
      <top style="medium">
        <color indexed="64"/>
      </top>
      <bottom/>
      <diagonal/>
    </border>
    <border>
      <left style="thick">
        <color auto="1"/>
      </left>
      <right/>
      <top style="medium">
        <color indexed="64"/>
      </top>
      <bottom style="medium">
        <color indexed="64"/>
      </bottom>
      <diagonal/>
    </border>
    <border>
      <left style="thin">
        <color indexed="64"/>
      </left>
      <right style="thick">
        <color auto="1"/>
      </right>
      <top style="medium">
        <color indexed="64"/>
      </top>
      <bottom style="medium">
        <color indexed="64"/>
      </bottom>
      <diagonal/>
    </border>
    <border>
      <left style="thick">
        <color auto="1"/>
      </left>
      <right/>
      <top style="medium">
        <color indexed="64"/>
      </top>
      <bottom style="thick">
        <color auto="1"/>
      </bottom>
      <diagonal/>
    </border>
    <border>
      <left/>
      <right/>
      <top style="medium">
        <color indexed="64"/>
      </top>
      <bottom style="thick">
        <color auto="1"/>
      </bottom>
      <diagonal/>
    </border>
    <border>
      <left/>
      <right style="thin">
        <color indexed="64"/>
      </right>
      <top style="medium">
        <color indexed="64"/>
      </top>
      <bottom style="thick">
        <color auto="1"/>
      </bottom>
      <diagonal/>
    </border>
    <border>
      <left style="thin">
        <color indexed="64"/>
      </left>
      <right style="thick">
        <color auto="1"/>
      </right>
      <top style="medium">
        <color indexed="64"/>
      </top>
      <bottom style="thick">
        <color auto="1"/>
      </bottom>
      <diagonal/>
    </border>
    <border>
      <left style="thin">
        <color indexed="64"/>
      </left>
      <right style="medium">
        <color indexed="64"/>
      </right>
      <top style="medium">
        <color indexed="64"/>
      </top>
      <bottom/>
      <diagonal/>
    </border>
    <border>
      <left style="thin">
        <color theme="0"/>
      </left>
      <right style="thick">
        <color auto="1"/>
      </right>
      <top style="thin">
        <color theme="0"/>
      </top>
      <bottom style="thin">
        <color theme="0"/>
      </bottom>
      <diagonal/>
    </border>
  </borders>
  <cellStyleXfs count="5">
    <xf numFmtId="0" fontId="0" fillId="0" borderId="0"/>
    <xf numFmtId="166" fontId="15" fillId="0" borderId="0" applyFont="0" applyFill="0" applyBorder="0" applyAlignment="0" applyProtection="0"/>
    <xf numFmtId="9" fontId="15" fillId="0" borderId="0" applyFont="0" applyFill="0" applyBorder="0" applyAlignment="0" applyProtection="0"/>
    <xf numFmtId="0" fontId="62" fillId="0" borderId="0"/>
    <xf numFmtId="0" fontId="64" fillId="0" borderId="0" applyNumberFormat="0" applyFill="0" applyBorder="0" applyAlignment="0" applyProtection="0"/>
  </cellStyleXfs>
  <cellXfs count="1090">
    <xf numFmtId="0" fontId="0" fillId="0" borderId="0" xfId="0"/>
    <xf numFmtId="165" fontId="0" fillId="0" borderId="0" xfId="0" applyNumberFormat="1"/>
    <xf numFmtId="0" fontId="0" fillId="0" borderId="0" xfId="0" applyAlignment="1">
      <alignment wrapText="1"/>
    </xf>
    <xf numFmtId="0" fontId="0" fillId="3" borderId="1" xfId="0" applyFill="1" applyBorder="1"/>
    <xf numFmtId="0" fontId="20" fillId="0" borderId="0" xfId="0" applyFont="1" applyAlignment="1">
      <alignment horizontal="center"/>
    </xf>
    <xf numFmtId="0" fontId="0" fillId="4" borderId="1" xfId="0" applyFont="1" applyFill="1" applyBorder="1"/>
    <xf numFmtId="9" fontId="15" fillId="4" borderId="2" xfId="2" applyFont="1" applyFill="1" applyBorder="1"/>
    <xf numFmtId="168" fontId="15" fillId="4" borderId="0" xfId="2" applyNumberFormat="1" applyFont="1" applyFill="1" applyBorder="1"/>
    <xf numFmtId="168" fontId="15" fillId="4" borderId="2" xfId="2" applyNumberFormat="1" applyFont="1" applyFill="1" applyBorder="1"/>
    <xf numFmtId="168" fontId="15" fillId="4" borderId="3" xfId="2" applyNumberFormat="1" applyFont="1" applyFill="1" applyBorder="1"/>
    <xf numFmtId="0" fontId="0" fillId="0" borderId="0" xfId="0" applyFont="1"/>
    <xf numFmtId="0" fontId="0" fillId="4" borderId="2" xfId="0" applyFont="1" applyFill="1" applyBorder="1"/>
    <xf numFmtId="37" fontId="0" fillId="4" borderId="1" xfId="0" applyNumberFormat="1" applyFont="1" applyFill="1" applyBorder="1"/>
    <xf numFmtId="37" fontId="0" fillId="4" borderId="2" xfId="0" applyNumberFormat="1" applyFont="1" applyFill="1" applyBorder="1"/>
    <xf numFmtId="37" fontId="0" fillId="4" borderId="3" xfId="0" applyNumberFormat="1" applyFont="1" applyFill="1" applyBorder="1"/>
    <xf numFmtId="37" fontId="0" fillId="4" borderId="4" xfId="0" applyNumberFormat="1" applyFont="1" applyFill="1" applyBorder="1"/>
    <xf numFmtId="37" fontId="0" fillId="4" borderId="5" xfId="0" applyNumberFormat="1" applyFont="1" applyFill="1" applyBorder="1"/>
    <xf numFmtId="37" fontId="0" fillId="4" borderId="3" xfId="0" applyNumberFormat="1" applyFont="1" applyFill="1" applyBorder="1" applyAlignment="1">
      <alignment horizontal="right"/>
    </xf>
    <xf numFmtId="0" fontId="19" fillId="5" borderId="6" xfId="0" applyFont="1" applyFill="1" applyBorder="1" applyAlignment="1">
      <alignment horizontal="center"/>
    </xf>
    <xf numFmtId="0" fontId="19" fillId="5" borderId="7" xfId="0" applyFont="1" applyFill="1" applyBorder="1" applyAlignment="1">
      <alignment horizontal="center" wrapText="1"/>
    </xf>
    <xf numFmtId="0" fontId="19" fillId="5" borderId="6" xfId="0" applyFont="1" applyFill="1" applyBorder="1" applyAlignment="1">
      <alignment horizontal="center" vertical="top" wrapText="1"/>
    </xf>
    <xf numFmtId="0" fontId="19" fillId="5" borderId="8" xfId="0" applyFont="1" applyFill="1" applyBorder="1" applyAlignment="1">
      <alignment horizontal="center" vertical="top" wrapText="1"/>
    </xf>
    <xf numFmtId="0" fontId="0" fillId="5" borderId="1" xfId="0" applyFill="1" applyBorder="1"/>
    <xf numFmtId="0" fontId="0" fillId="5" borderId="2" xfId="0" applyFill="1" applyBorder="1"/>
    <xf numFmtId="0" fontId="0" fillId="5" borderId="3" xfId="0" applyFill="1" applyBorder="1"/>
    <xf numFmtId="3" fontId="0" fillId="5" borderId="1" xfId="0" applyNumberFormat="1" applyFill="1" applyBorder="1"/>
    <xf numFmtId="3" fontId="0" fillId="5" borderId="2" xfId="0" applyNumberFormat="1" applyFill="1" applyBorder="1"/>
    <xf numFmtId="3" fontId="0" fillId="5" borderId="3" xfId="0" applyNumberFormat="1" applyFill="1" applyBorder="1"/>
    <xf numFmtId="37" fontId="0" fillId="5" borderId="1" xfId="0" applyNumberFormat="1" applyFill="1" applyBorder="1"/>
    <xf numFmtId="37" fontId="0" fillId="5" borderId="2" xfId="0" applyNumberFormat="1" applyFill="1" applyBorder="1"/>
    <xf numFmtId="37" fontId="0" fillId="5" borderId="3" xfId="0" applyNumberFormat="1" applyFill="1" applyBorder="1"/>
    <xf numFmtId="37" fontId="0" fillId="5" borderId="4" xfId="0" applyNumberFormat="1" applyFill="1" applyBorder="1"/>
    <xf numFmtId="37" fontId="0" fillId="5" borderId="5" xfId="0" applyNumberFormat="1" applyFill="1" applyBorder="1"/>
    <xf numFmtId="39" fontId="0" fillId="5" borderId="1" xfId="0" applyNumberFormat="1" applyFill="1" applyBorder="1"/>
    <xf numFmtId="39" fontId="0" fillId="5" borderId="2" xfId="0" applyNumberFormat="1" applyFill="1" applyBorder="1"/>
    <xf numFmtId="39" fontId="0" fillId="5" borderId="3" xfId="0" applyNumberFormat="1" applyFill="1" applyBorder="1"/>
    <xf numFmtId="2" fontId="0" fillId="5" borderId="3" xfId="0" applyNumberFormat="1" applyFill="1" applyBorder="1"/>
    <xf numFmtId="10" fontId="15" fillId="5" borderId="1" xfId="2" applyNumberFormat="1" applyFont="1" applyFill="1" applyBorder="1"/>
    <xf numFmtId="10" fontId="15" fillId="5" borderId="2" xfId="2" applyNumberFormat="1" applyFont="1" applyFill="1" applyBorder="1"/>
    <xf numFmtId="10" fontId="15" fillId="5" borderId="3" xfId="2" applyNumberFormat="1" applyFont="1" applyFill="1" applyBorder="1"/>
    <xf numFmtId="0" fontId="19" fillId="5" borderId="9" xfId="0" applyFont="1" applyFill="1" applyBorder="1"/>
    <xf numFmtId="0" fontId="0" fillId="5" borderId="9" xfId="0" applyFill="1" applyBorder="1"/>
    <xf numFmtId="0" fontId="0" fillId="5" borderId="6" xfId="0" applyFill="1" applyBorder="1"/>
    <xf numFmtId="0" fontId="0" fillId="5" borderId="7" xfId="0" applyFill="1" applyBorder="1"/>
    <xf numFmtId="0" fontId="0" fillId="5" borderId="8" xfId="0" applyFill="1" applyBorder="1"/>
    <xf numFmtId="0" fontId="0" fillId="5" borderId="1" xfId="0" applyFont="1" applyFill="1" applyBorder="1"/>
    <xf numFmtId="9" fontId="0" fillId="5" borderId="0" xfId="0" applyNumberFormat="1" applyFill="1" applyBorder="1"/>
    <xf numFmtId="9" fontId="0" fillId="5" borderId="3" xfId="0" applyNumberFormat="1" applyFill="1" applyBorder="1"/>
    <xf numFmtId="0" fontId="0" fillId="5" borderId="1" xfId="0" applyFill="1" applyBorder="1" applyAlignment="1">
      <alignment wrapText="1"/>
    </xf>
    <xf numFmtId="0" fontId="0" fillId="5" borderId="4" xfId="0" applyFill="1" applyBorder="1"/>
    <xf numFmtId="0" fontId="0" fillId="5" borderId="10" xfId="0" applyFill="1" applyBorder="1"/>
    <xf numFmtId="0" fontId="0" fillId="5" borderId="11" xfId="0" applyFill="1" applyBorder="1" applyAlignment="1">
      <alignment horizontal="center"/>
    </xf>
    <xf numFmtId="0" fontId="0" fillId="5" borderId="10" xfId="0" applyFill="1" applyBorder="1" applyAlignment="1">
      <alignment horizontal="center"/>
    </xf>
    <xf numFmtId="0" fontId="0" fillId="5" borderId="5" xfId="0" applyFill="1" applyBorder="1" applyAlignment="1">
      <alignment horizontal="center"/>
    </xf>
    <xf numFmtId="0" fontId="19" fillId="5" borderId="9" xfId="0" applyFont="1" applyFill="1" applyBorder="1" applyAlignment="1">
      <alignment horizontal="center" vertical="center"/>
    </xf>
    <xf numFmtId="0" fontId="0" fillId="5" borderId="6" xfId="0" applyFont="1" applyFill="1" applyBorder="1"/>
    <xf numFmtId="0" fontId="0" fillId="5" borderId="8" xfId="0" applyFont="1" applyFill="1" applyBorder="1"/>
    <xf numFmtId="3" fontId="0" fillId="5" borderId="1" xfId="0" applyNumberFormat="1" applyFont="1" applyFill="1" applyBorder="1"/>
    <xf numFmtId="0" fontId="0" fillId="5" borderId="2" xfId="0" applyFont="1" applyFill="1" applyBorder="1"/>
    <xf numFmtId="3" fontId="0" fillId="5" borderId="3" xfId="0" applyNumberFormat="1" applyFont="1" applyFill="1" applyBorder="1"/>
    <xf numFmtId="3" fontId="0" fillId="5" borderId="2" xfId="0" applyNumberFormat="1" applyFont="1" applyFill="1" applyBorder="1"/>
    <xf numFmtId="37" fontId="0" fillId="5" borderId="1" xfId="0" applyNumberFormat="1" applyFont="1" applyFill="1" applyBorder="1"/>
    <xf numFmtId="37" fontId="0" fillId="5" borderId="3" xfId="0" applyNumberFormat="1" applyFont="1" applyFill="1" applyBorder="1"/>
    <xf numFmtId="37" fontId="0" fillId="5" borderId="2" xfId="0" applyNumberFormat="1" applyFont="1" applyFill="1" applyBorder="1"/>
    <xf numFmtId="37" fontId="0" fillId="5" borderId="4" xfId="0" applyNumberFormat="1" applyFont="1" applyFill="1" applyBorder="1"/>
    <xf numFmtId="37" fontId="0" fillId="5" borderId="5" xfId="0" applyNumberFormat="1" applyFont="1" applyFill="1" applyBorder="1"/>
    <xf numFmtId="39" fontId="0" fillId="5" borderId="1" xfId="0" applyNumberFormat="1" applyFont="1" applyFill="1" applyBorder="1"/>
    <xf numFmtId="39" fontId="0" fillId="5" borderId="3" xfId="0" applyNumberFormat="1" applyFont="1" applyFill="1" applyBorder="1"/>
    <xf numFmtId="2" fontId="0" fillId="5" borderId="3" xfId="0" applyNumberFormat="1" applyFont="1" applyFill="1" applyBorder="1"/>
    <xf numFmtId="0" fontId="0" fillId="5" borderId="3" xfId="0" applyFont="1" applyFill="1" applyBorder="1"/>
    <xf numFmtId="39" fontId="0" fillId="5" borderId="2" xfId="0" applyNumberFormat="1" applyFont="1" applyFill="1" applyBorder="1"/>
    <xf numFmtId="0" fontId="19" fillId="5" borderId="1" xfId="0" applyFont="1" applyFill="1" applyBorder="1"/>
    <xf numFmtId="37" fontId="19" fillId="5" borderId="1" xfId="0" applyNumberFormat="1" applyFont="1" applyFill="1" applyBorder="1"/>
    <xf numFmtId="37" fontId="19" fillId="5" borderId="3" xfId="0" applyNumberFormat="1" applyFont="1" applyFill="1" applyBorder="1"/>
    <xf numFmtId="0" fontId="0" fillId="5" borderId="4" xfId="0" applyFont="1" applyFill="1" applyBorder="1"/>
    <xf numFmtId="10" fontId="15" fillId="5" borderId="4" xfId="2" applyNumberFormat="1" applyFont="1" applyFill="1" applyBorder="1" applyAlignment="1">
      <alignment horizontal="right"/>
    </xf>
    <xf numFmtId="10" fontId="15" fillId="5" borderId="10" xfId="2" applyNumberFormat="1" applyFont="1" applyFill="1" applyBorder="1" applyAlignment="1">
      <alignment horizontal="right"/>
    </xf>
    <xf numFmtId="10" fontId="15" fillId="5" borderId="5" xfId="2" applyNumberFormat="1" applyFont="1" applyFill="1" applyBorder="1" applyAlignment="1">
      <alignment horizontal="right"/>
    </xf>
    <xf numFmtId="10" fontId="15" fillId="5" borderId="0" xfId="2" applyNumberFormat="1" applyFont="1" applyFill="1" applyBorder="1"/>
    <xf numFmtId="0" fontId="0" fillId="3" borderId="1" xfId="0" applyFont="1" applyFill="1" applyBorder="1"/>
    <xf numFmtId="37" fontId="0" fillId="3" borderId="1" xfId="0" applyNumberFormat="1" applyFont="1" applyFill="1" applyBorder="1"/>
    <xf numFmtId="37" fontId="0" fillId="3" borderId="2" xfId="0" applyNumberFormat="1" applyFont="1" applyFill="1" applyBorder="1"/>
    <xf numFmtId="37" fontId="0" fillId="3" borderId="3" xfId="0" applyNumberFormat="1" applyFont="1" applyFill="1" applyBorder="1"/>
    <xf numFmtId="0" fontId="0" fillId="0" borderId="0" xfId="0" applyFont="1" applyBorder="1"/>
    <xf numFmtId="0" fontId="0" fillId="0" borderId="0" xfId="0" applyFont="1" applyBorder="1" applyAlignment="1">
      <alignment horizontal="center"/>
    </xf>
    <xf numFmtId="0" fontId="19" fillId="0" borderId="0" xfId="0" applyFont="1" applyAlignment="1">
      <alignment horizontal="center" wrapText="1"/>
    </xf>
    <xf numFmtId="0" fontId="0" fillId="3" borderId="2" xfId="0" applyFont="1" applyFill="1" applyBorder="1"/>
    <xf numFmtId="39" fontId="0" fillId="3" borderId="2" xfId="0" applyNumberFormat="1" applyFont="1" applyFill="1" applyBorder="1"/>
    <xf numFmtId="37" fontId="0" fillId="3" borderId="0" xfId="0" applyNumberFormat="1" applyFont="1" applyFill="1" applyBorder="1"/>
    <xf numFmtId="37" fontId="0" fillId="3" borderId="4" xfId="0" applyNumberFormat="1" applyFont="1" applyFill="1" applyBorder="1"/>
    <xf numFmtId="37" fontId="0" fillId="3" borderId="11" xfId="0" applyNumberFormat="1" applyFont="1" applyFill="1" applyBorder="1"/>
    <xf numFmtId="37" fontId="0" fillId="3" borderId="5" xfId="0" applyNumberFormat="1" applyFont="1" applyFill="1" applyBorder="1"/>
    <xf numFmtId="0" fontId="0" fillId="0" borderId="0" xfId="0" applyFont="1" applyAlignment="1">
      <alignment wrapText="1"/>
    </xf>
    <xf numFmtId="168" fontId="15" fillId="3" borderId="1" xfId="2" applyNumberFormat="1" applyFont="1" applyFill="1" applyBorder="1"/>
    <xf numFmtId="168" fontId="15" fillId="3" borderId="3" xfId="2" applyNumberFormat="1" applyFont="1" applyFill="1" applyBorder="1"/>
    <xf numFmtId="0" fontId="0" fillId="5" borderId="0" xfId="0" applyFont="1" applyFill="1"/>
    <xf numFmtId="165" fontId="0" fillId="5" borderId="0" xfId="0" applyNumberFormat="1" applyFont="1" applyFill="1"/>
    <xf numFmtId="10" fontId="15" fillId="5" borderId="1" xfId="2" applyNumberFormat="1" applyFont="1" applyFill="1" applyBorder="1"/>
    <xf numFmtId="10" fontId="15" fillId="5" borderId="2" xfId="2" applyNumberFormat="1" applyFont="1" applyFill="1" applyBorder="1"/>
    <xf numFmtId="10" fontId="15" fillId="5" borderId="3" xfId="2" applyNumberFormat="1" applyFont="1" applyFill="1" applyBorder="1"/>
    <xf numFmtId="0" fontId="0" fillId="5" borderId="9" xfId="0" applyFont="1" applyFill="1" applyBorder="1"/>
    <xf numFmtId="9" fontId="0" fillId="5" borderId="3" xfId="0" applyNumberFormat="1" applyFont="1" applyFill="1" applyBorder="1"/>
    <xf numFmtId="0" fontId="0" fillId="5" borderId="1" xfId="0" applyFont="1" applyFill="1" applyBorder="1" applyAlignment="1">
      <alignment wrapText="1"/>
    </xf>
    <xf numFmtId="0" fontId="0" fillId="5" borderId="10" xfId="0" applyFont="1" applyFill="1" applyBorder="1"/>
    <xf numFmtId="0" fontId="0" fillId="5" borderId="5" xfId="0" applyFont="1" applyFill="1" applyBorder="1" applyAlignment="1">
      <alignment horizontal="center"/>
    </xf>
    <xf numFmtId="0" fontId="0" fillId="5" borderId="10" xfId="0" applyFont="1" applyFill="1" applyBorder="1" applyAlignment="1">
      <alignment horizontal="center"/>
    </xf>
    <xf numFmtId="0" fontId="19" fillId="5" borderId="9" xfId="0" applyFont="1" applyFill="1" applyBorder="1" applyAlignment="1">
      <alignment horizontal="center" vertical="center"/>
    </xf>
    <xf numFmtId="0" fontId="19" fillId="5" borderId="1" xfId="0" applyFont="1" applyFill="1" applyBorder="1" applyAlignment="1">
      <alignment horizontal="center" vertical="center"/>
    </xf>
    <xf numFmtId="0" fontId="19" fillId="5" borderId="2" xfId="0" applyFont="1" applyFill="1" applyBorder="1" applyAlignment="1">
      <alignment horizontal="center" vertical="center"/>
    </xf>
    <xf numFmtId="0" fontId="20" fillId="0" borderId="0" xfId="0" applyFont="1" applyAlignment="1">
      <alignment horizontal="center"/>
    </xf>
    <xf numFmtId="0" fontId="19" fillId="5" borderId="7" xfId="0" applyFont="1" applyFill="1" applyBorder="1" applyAlignment="1">
      <alignment horizontal="center"/>
    </xf>
    <xf numFmtId="0" fontId="19" fillId="5" borderId="6" xfId="0" applyFont="1" applyFill="1" applyBorder="1" applyAlignment="1">
      <alignment horizontal="center" vertical="center"/>
    </xf>
    <xf numFmtId="2" fontId="19" fillId="5" borderId="6" xfId="0" applyNumberFormat="1" applyFont="1" applyFill="1" applyBorder="1" applyAlignment="1">
      <alignment horizontal="center" wrapText="1"/>
    </xf>
    <xf numFmtId="2" fontId="19" fillId="5" borderId="7" xfId="0" applyNumberFormat="1" applyFont="1" applyFill="1" applyBorder="1" applyAlignment="1">
      <alignment horizontal="center" wrapText="1"/>
    </xf>
    <xf numFmtId="3" fontId="0" fillId="5" borderId="0" xfId="0" applyNumberFormat="1" applyFont="1" applyFill="1" applyBorder="1"/>
    <xf numFmtId="37" fontId="0" fillId="5" borderId="0" xfId="0" applyNumberFormat="1" applyFont="1" applyFill="1" applyBorder="1"/>
    <xf numFmtId="37" fontId="0" fillId="5" borderId="11" xfId="0" applyNumberFormat="1" applyFont="1" applyFill="1" applyBorder="1"/>
    <xf numFmtId="39" fontId="0" fillId="5" borderId="0" xfId="0" applyNumberFormat="1" applyFont="1" applyFill="1" applyBorder="1"/>
    <xf numFmtId="0" fontId="19" fillId="5" borderId="2" xfId="0" applyFont="1" applyFill="1" applyBorder="1"/>
    <xf numFmtId="37" fontId="19" fillId="5" borderId="2" xfId="0" applyNumberFormat="1" applyFont="1" applyFill="1" applyBorder="1"/>
    <xf numFmtId="37" fontId="19" fillId="5" borderId="0" xfId="0" applyNumberFormat="1" applyFont="1" applyFill="1" applyBorder="1"/>
    <xf numFmtId="37" fontId="0" fillId="5" borderId="10" xfId="0" applyNumberFormat="1" applyFont="1" applyFill="1" applyBorder="1" applyAlignment="1">
      <alignment horizontal="right"/>
    </xf>
    <xf numFmtId="10" fontId="15" fillId="5" borderId="11" xfId="2" applyNumberFormat="1" applyFont="1" applyFill="1" applyBorder="1" applyAlignment="1">
      <alignment horizontal="right"/>
    </xf>
    <xf numFmtId="0" fontId="21" fillId="0" borderId="0" xfId="0" applyFont="1" applyAlignment="1">
      <alignment horizontal="right" vertical="top"/>
    </xf>
    <xf numFmtId="0" fontId="22" fillId="0" borderId="0" xfId="0" applyFont="1"/>
    <xf numFmtId="0" fontId="23" fillId="0" borderId="0" xfId="0" applyFont="1"/>
    <xf numFmtId="0" fontId="21" fillId="0" borderId="0" xfId="0" applyFont="1"/>
    <xf numFmtId="9" fontId="15" fillId="4" borderId="1" xfId="2" applyNumberFormat="1" applyFont="1" applyFill="1" applyBorder="1"/>
    <xf numFmtId="0" fontId="0" fillId="0" borderId="12" xfId="0" applyBorder="1" applyAlignment="1" applyProtection="1">
      <alignment horizontal="left"/>
      <protection hidden="1"/>
    </xf>
    <xf numFmtId="0" fontId="0" fillId="0" borderId="13" xfId="0" applyBorder="1" applyProtection="1">
      <protection hidden="1"/>
    </xf>
    <xf numFmtId="0" fontId="0" fillId="0" borderId="14" xfId="0" applyBorder="1" applyProtection="1">
      <protection hidden="1"/>
    </xf>
    <xf numFmtId="0" fontId="0" fillId="0" borderId="15" xfId="0" applyBorder="1" applyAlignment="1" applyProtection="1">
      <alignment horizontal="left"/>
      <protection hidden="1"/>
    </xf>
    <xf numFmtId="169" fontId="1" fillId="0" borderId="15" xfId="2" applyNumberFormat="1" applyFont="1" applyBorder="1" applyProtection="1">
      <protection hidden="1"/>
    </xf>
    <xf numFmtId="169" fontId="1" fillId="0" borderId="15" xfId="0" applyNumberFormat="1" applyFont="1" applyBorder="1" applyProtection="1">
      <protection hidden="1"/>
    </xf>
    <xf numFmtId="170" fontId="15" fillId="0" borderId="15" xfId="1" applyNumberFormat="1" applyFont="1" applyBorder="1" applyProtection="1">
      <protection hidden="1"/>
    </xf>
    <xf numFmtId="0" fontId="0" fillId="0" borderId="14" xfId="0" applyBorder="1" applyAlignment="1" applyProtection="1">
      <alignment horizontal="center" vertical="center" wrapText="1"/>
      <protection hidden="1"/>
    </xf>
    <xf numFmtId="0" fontId="0" fillId="0" borderId="0" xfId="0" applyAlignment="1">
      <alignment horizontal="right"/>
    </xf>
    <xf numFmtId="170" fontId="19" fillId="0" borderId="0" xfId="0" applyNumberFormat="1" applyFont="1"/>
    <xf numFmtId="0" fontId="24" fillId="6" borderId="68" xfId="0" applyFont="1" applyFill="1" applyBorder="1" applyAlignment="1">
      <alignment horizontal="centerContinuous" vertical="center" wrapText="1"/>
    </xf>
    <xf numFmtId="0" fontId="2" fillId="0" borderId="69" xfId="0" applyFont="1" applyBorder="1" applyAlignment="1">
      <alignment horizontal="centerContinuous" vertical="center"/>
    </xf>
    <xf numFmtId="0" fontId="24" fillId="6" borderId="69" xfId="0" applyFont="1" applyFill="1" applyBorder="1" applyAlignment="1">
      <alignment horizontal="centerContinuous" vertical="center" wrapText="1"/>
    </xf>
    <xf numFmtId="0" fontId="25" fillId="6" borderId="70" xfId="0" applyFont="1" applyFill="1" applyBorder="1" applyAlignment="1">
      <alignment horizontal="centerContinuous" vertical="center" wrapText="1"/>
    </xf>
    <xf numFmtId="0" fontId="2" fillId="0" borderId="0" xfId="0" applyFont="1"/>
    <xf numFmtId="0" fontId="1" fillId="0" borderId="16" xfId="0" applyFont="1" applyBorder="1" applyAlignment="1" applyProtection="1">
      <alignment horizontal="center" vertical="center" wrapText="1"/>
      <protection hidden="1"/>
    </xf>
    <xf numFmtId="0" fontId="24" fillId="6" borderId="71" xfId="0" applyFont="1" applyFill="1" applyBorder="1" applyAlignment="1">
      <alignment horizontal="center" vertical="center" wrapText="1"/>
    </xf>
    <xf numFmtId="171" fontId="4" fillId="0" borderId="16" xfId="1" applyNumberFormat="1" applyFont="1" applyBorder="1" applyProtection="1">
      <protection hidden="1"/>
    </xf>
    <xf numFmtId="166" fontId="15" fillId="0" borderId="16" xfId="1" applyBorder="1" applyProtection="1">
      <protection hidden="1"/>
    </xf>
    <xf numFmtId="172" fontId="4" fillId="0" borderId="16" xfId="1" applyNumberFormat="1" applyFont="1" applyBorder="1" applyProtection="1">
      <protection hidden="1"/>
    </xf>
    <xf numFmtId="172" fontId="25" fillId="6" borderId="72" xfId="1" applyNumberFormat="1" applyFont="1" applyFill="1" applyBorder="1" applyAlignment="1">
      <alignment vertical="center" wrapText="1"/>
    </xf>
    <xf numFmtId="166" fontId="25" fillId="6" borderId="73" xfId="1" applyFont="1" applyFill="1" applyBorder="1" applyAlignment="1">
      <alignment vertical="center" wrapText="1"/>
    </xf>
    <xf numFmtId="0" fontId="0" fillId="0" borderId="16" xfId="0" applyBorder="1" applyProtection="1">
      <protection hidden="1"/>
    </xf>
    <xf numFmtId="172" fontId="3" fillId="0" borderId="0" xfId="1" applyNumberFormat="1" applyFont="1" applyProtection="1">
      <protection hidden="1"/>
    </xf>
    <xf numFmtId="172" fontId="25" fillId="6" borderId="72" xfId="1" applyNumberFormat="1" applyFont="1" applyFill="1" applyBorder="1" applyAlignment="1">
      <alignment horizontal="center" vertical="center" wrapText="1"/>
    </xf>
    <xf numFmtId="0" fontId="0" fillId="0" borderId="17" xfId="0" applyBorder="1" applyProtection="1">
      <protection hidden="1"/>
    </xf>
    <xf numFmtId="0" fontId="0" fillId="0" borderId="0" xfId="0" applyProtection="1">
      <protection hidden="1"/>
    </xf>
    <xf numFmtId="166" fontId="25" fillId="6" borderId="73" xfId="1" applyFont="1" applyFill="1" applyBorder="1" applyAlignment="1">
      <alignment horizontal="center" vertical="center" wrapText="1"/>
    </xf>
    <xf numFmtId="0" fontId="0" fillId="0" borderId="13" xfId="0" applyBorder="1" applyAlignment="1" applyProtection="1">
      <alignment horizontal="left"/>
      <protection hidden="1"/>
    </xf>
    <xf numFmtId="172" fontId="0" fillId="7" borderId="15" xfId="0" applyNumberFormat="1" applyFill="1" applyBorder="1" applyAlignment="1" applyProtection="1">
      <alignment horizontal="left"/>
      <protection hidden="1"/>
    </xf>
    <xf numFmtId="0" fontId="0" fillId="7" borderId="14" xfId="0" applyFill="1" applyBorder="1" applyAlignment="1" applyProtection="1">
      <alignment horizontal="center" vertical="center" wrapText="1"/>
      <protection hidden="1"/>
    </xf>
    <xf numFmtId="169" fontId="4" fillId="0" borderId="16" xfId="2" applyNumberFormat="1" applyFont="1" applyBorder="1" applyProtection="1">
      <protection hidden="1"/>
    </xf>
    <xf numFmtId="43" fontId="15" fillId="0" borderId="74" xfId="1" applyNumberFormat="1" applyFont="1" applyBorder="1" applyAlignment="1">
      <alignment horizontal="right" vertical="center" wrapText="1"/>
    </xf>
    <xf numFmtId="43" fontId="15" fillId="0" borderId="75" xfId="1" applyNumberFormat="1" applyFont="1" applyBorder="1" applyAlignment="1">
      <alignment horizontal="right" vertical="center" wrapText="1"/>
    </xf>
    <xf numFmtId="43" fontId="15" fillId="0" borderId="76" xfId="1" applyNumberFormat="1" applyFont="1" applyBorder="1" applyAlignment="1">
      <alignment horizontal="right" vertical="center" wrapText="1"/>
    </xf>
    <xf numFmtId="43" fontId="15" fillId="0" borderId="77" xfId="1" applyNumberFormat="1" applyFont="1" applyBorder="1" applyAlignment="1">
      <alignment horizontal="right" vertical="center" wrapText="1"/>
    </xf>
    <xf numFmtId="171" fontId="25" fillId="6" borderId="72" xfId="1" applyNumberFormat="1" applyFont="1" applyFill="1" applyBorder="1" applyAlignment="1">
      <alignment vertical="center" wrapText="1"/>
    </xf>
    <xf numFmtId="173" fontId="15" fillId="0" borderId="74" xfId="1" applyNumberFormat="1" applyFont="1" applyBorder="1" applyAlignment="1">
      <alignment horizontal="right" vertical="center" wrapText="1"/>
    </xf>
    <xf numFmtId="173" fontId="15" fillId="0" borderId="77" xfId="1" applyNumberFormat="1" applyFont="1" applyBorder="1" applyAlignment="1">
      <alignment horizontal="right" vertical="center" wrapText="1"/>
    </xf>
    <xf numFmtId="173" fontId="15" fillId="0" borderId="78" xfId="1" applyNumberFormat="1" applyFont="1" applyBorder="1" applyAlignment="1">
      <alignment horizontal="right" vertical="center" wrapText="1"/>
    </xf>
    <xf numFmtId="173" fontId="15" fillId="0" borderId="78" xfId="1" applyNumberFormat="1" applyFont="1" applyBorder="1" applyAlignment="1">
      <alignment horizontal="right" vertical="center" wrapText="1"/>
    </xf>
    <xf numFmtId="43" fontId="15" fillId="0" borderId="0" xfId="1" applyNumberFormat="1" applyFont="1" applyBorder="1" applyAlignment="1">
      <alignment horizontal="right" vertical="center" wrapText="1"/>
    </xf>
    <xf numFmtId="0" fontId="26" fillId="0" borderId="74" xfId="0" applyFont="1" applyBorder="1" applyAlignment="1">
      <alignment vertical="center" wrapText="1"/>
    </xf>
    <xf numFmtId="9" fontId="26" fillId="0" borderId="74" xfId="0" applyNumberFormat="1" applyFont="1" applyBorder="1" applyAlignment="1">
      <alignment vertical="center" wrapText="1"/>
    </xf>
    <xf numFmtId="9" fontId="27" fillId="0" borderId="74" xfId="0" applyNumberFormat="1" applyFont="1" applyBorder="1" applyAlignment="1">
      <alignment vertical="center" wrapText="1"/>
    </xf>
    <xf numFmtId="172" fontId="28" fillId="6" borderId="72" xfId="1" applyNumberFormat="1" applyFont="1" applyFill="1" applyBorder="1" applyAlignment="1">
      <alignment vertical="center" wrapText="1"/>
    </xf>
    <xf numFmtId="43" fontId="27" fillId="0" borderId="75" xfId="1" applyNumberFormat="1" applyFont="1" applyBorder="1" applyAlignment="1">
      <alignment horizontal="right" vertical="center" wrapText="1"/>
    </xf>
    <xf numFmtId="171" fontId="28" fillId="6" borderId="72" xfId="1" applyNumberFormat="1" applyFont="1" applyFill="1" applyBorder="1" applyAlignment="1">
      <alignment vertical="center" wrapText="1"/>
    </xf>
    <xf numFmtId="166" fontId="2" fillId="0" borderId="0" xfId="0" applyNumberFormat="1" applyFont="1"/>
    <xf numFmtId="39" fontId="18" fillId="5" borderId="3" xfId="0" applyNumberFormat="1" applyFont="1" applyFill="1" applyBorder="1"/>
    <xf numFmtId="0" fontId="1" fillId="8" borderId="16" xfId="0" applyFont="1" applyFill="1" applyBorder="1" applyAlignment="1" applyProtection="1">
      <alignment horizontal="center" vertical="center" wrapText="1"/>
      <protection hidden="1"/>
    </xf>
    <xf numFmtId="10" fontId="4" fillId="8" borderId="16" xfId="2" applyNumberFormat="1" applyFont="1" applyFill="1" applyBorder="1" applyProtection="1">
      <protection hidden="1"/>
    </xf>
    <xf numFmtId="166" fontId="15" fillId="8" borderId="16" xfId="1" applyFill="1" applyBorder="1" applyProtection="1">
      <protection hidden="1"/>
    </xf>
    <xf numFmtId="172" fontId="4" fillId="8" borderId="16" xfId="1" applyNumberFormat="1" applyFont="1" applyFill="1" applyBorder="1" applyProtection="1">
      <protection hidden="1"/>
    </xf>
    <xf numFmtId="0" fontId="0" fillId="8" borderId="16" xfId="0" applyFill="1" applyBorder="1" applyProtection="1">
      <protection hidden="1"/>
    </xf>
    <xf numFmtId="171" fontId="4" fillId="8" borderId="16" xfId="1" applyNumberFormat="1" applyFont="1" applyFill="1" applyBorder="1" applyProtection="1">
      <protection hidden="1"/>
    </xf>
    <xf numFmtId="171" fontId="28" fillId="6" borderId="79" xfId="1" applyNumberFormat="1" applyFont="1" applyFill="1" applyBorder="1" applyAlignment="1">
      <alignment vertical="center" wrapText="1"/>
    </xf>
    <xf numFmtId="171" fontId="28" fillId="6" borderId="80" xfId="1" applyNumberFormat="1" applyFont="1" applyFill="1" applyBorder="1" applyAlignment="1">
      <alignment vertical="center" wrapText="1"/>
    </xf>
    <xf numFmtId="0" fontId="29" fillId="0" borderId="74" xfId="0" applyFont="1" applyBorder="1" applyAlignment="1">
      <alignment vertical="center" wrapText="1"/>
    </xf>
    <xf numFmtId="0" fontId="1" fillId="0" borderId="0" xfId="0" applyFont="1" applyAlignment="1" applyProtection="1">
      <alignment horizontal="center"/>
      <protection hidden="1"/>
    </xf>
    <xf numFmtId="0" fontId="4" fillId="0" borderId="0" xfId="0" applyFont="1" applyProtection="1">
      <protection hidden="1"/>
    </xf>
    <xf numFmtId="172" fontId="15" fillId="0" borderId="0" xfId="1" applyNumberFormat="1" applyFont="1" applyProtection="1">
      <protection hidden="1"/>
    </xf>
    <xf numFmtId="10" fontId="3" fillId="0" borderId="0" xfId="2" applyNumberFormat="1" applyFont="1" applyProtection="1">
      <protection hidden="1"/>
    </xf>
    <xf numFmtId="10" fontId="15" fillId="0" borderId="0" xfId="2" applyNumberFormat="1" applyFont="1" applyProtection="1">
      <protection hidden="1"/>
    </xf>
    <xf numFmtId="171" fontId="4" fillId="0" borderId="0" xfId="1" applyNumberFormat="1" applyFont="1" applyProtection="1">
      <protection hidden="1"/>
    </xf>
    <xf numFmtId="166" fontId="15" fillId="0" borderId="0" xfId="1" applyFont="1" applyProtection="1">
      <protection hidden="1"/>
    </xf>
    <xf numFmtId="172" fontId="4" fillId="0" borderId="0" xfId="1" applyNumberFormat="1" applyFont="1" applyProtection="1">
      <protection hidden="1"/>
    </xf>
    <xf numFmtId="172" fontId="0" fillId="0" borderId="0" xfId="0" applyNumberFormat="1" applyProtection="1">
      <protection hidden="1"/>
    </xf>
    <xf numFmtId="0" fontId="0" fillId="2" borderId="12" xfId="0" applyFill="1" applyBorder="1" applyAlignment="1" applyProtection="1">
      <alignment horizontal="centerContinuous"/>
      <protection hidden="1"/>
    </xf>
    <xf numFmtId="0" fontId="0" fillId="2" borderId="14" xfId="0" applyFill="1" applyBorder="1" applyAlignment="1" applyProtection="1">
      <alignment horizontal="centerContinuous"/>
      <protection hidden="1"/>
    </xf>
    <xf numFmtId="0" fontId="0" fillId="2" borderId="15" xfId="0" applyFill="1" applyBorder="1" applyAlignment="1" applyProtection="1">
      <alignment horizontal="center"/>
      <protection hidden="1"/>
    </xf>
    <xf numFmtId="172" fontId="15" fillId="0" borderId="15" xfId="1" applyNumberFormat="1" applyFont="1" applyBorder="1" applyProtection="1">
      <protection hidden="1"/>
    </xf>
    <xf numFmtId="9" fontId="15" fillId="0" borderId="15" xfId="2" applyFont="1" applyBorder="1" applyAlignment="1" applyProtection="1">
      <alignment horizontal="center"/>
      <protection hidden="1"/>
    </xf>
    <xf numFmtId="172" fontId="15" fillId="0" borderId="0" xfId="2" applyNumberFormat="1" applyFont="1" applyProtection="1">
      <protection hidden="1"/>
    </xf>
    <xf numFmtId="0" fontId="7" fillId="0" borderId="0" xfId="0" applyFont="1" applyAlignment="1">
      <alignment horizontal="centerContinuous"/>
    </xf>
    <xf numFmtId="0" fontId="21" fillId="0" borderId="0" xfId="0" applyFont="1" applyAlignment="1" applyProtection="1">
      <alignment horizontal="right" vertical="top"/>
      <protection hidden="1"/>
    </xf>
    <xf numFmtId="0" fontId="22" fillId="0" borderId="0" xfId="0" applyFont="1" applyProtection="1">
      <protection hidden="1"/>
    </xf>
    <xf numFmtId="0" fontId="19" fillId="8" borderId="19" xfId="0" applyFont="1" applyFill="1" applyBorder="1" applyAlignment="1" applyProtection="1">
      <alignment horizontal="right"/>
      <protection hidden="1"/>
    </xf>
    <xf numFmtId="0" fontId="30" fillId="8" borderId="15" xfId="0" applyFont="1" applyFill="1" applyBorder="1" applyAlignment="1" applyProtection="1">
      <alignment horizontal="center"/>
      <protection hidden="1"/>
    </xf>
    <xf numFmtId="0" fontId="19" fillId="5" borderId="16" xfId="0" applyFont="1" applyFill="1" applyBorder="1" applyAlignment="1" applyProtection="1">
      <alignment horizontal="center" vertical="center"/>
      <protection hidden="1"/>
    </xf>
    <xf numFmtId="174" fontId="15" fillId="0" borderId="0" xfId="1" applyNumberFormat="1" applyFont="1" applyAlignment="1" applyProtection="1">
      <alignment wrapText="1"/>
      <protection hidden="1"/>
    </xf>
    <xf numFmtId="0" fontId="0" fillId="5" borderId="1" xfId="0" applyFill="1" applyBorder="1" applyProtection="1">
      <protection hidden="1"/>
    </xf>
    <xf numFmtId="0" fontId="0" fillId="5" borderId="2" xfId="0" applyFill="1" applyBorder="1" applyProtection="1">
      <protection hidden="1"/>
    </xf>
    <xf numFmtId="0" fontId="0" fillId="5" borderId="3" xfId="0" applyFill="1" applyBorder="1" applyProtection="1">
      <protection hidden="1"/>
    </xf>
    <xf numFmtId="3" fontId="0" fillId="5" borderId="2" xfId="0" applyNumberFormat="1" applyFill="1" applyBorder="1" applyProtection="1">
      <protection hidden="1"/>
    </xf>
    <xf numFmtId="168" fontId="19" fillId="5" borderId="1" xfId="2" applyNumberFormat="1" applyFont="1" applyFill="1" applyBorder="1" applyProtection="1">
      <protection hidden="1"/>
    </xf>
    <xf numFmtId="37" fontId="0" fillId="5" borderId="1" xfId="0" applyNumberFormat="1" applyFill="1" applyBorder="1" applyProtection="1">
      <protection hidden="1"/>
    </xf>
    <xf numFmtId="37" fontId="0" fillId="5" borderId="2" xfId="0" applyNumberFormat="1" applyFill="1" applyBorder="1" applyProtection="1">
      <protection hidden="1"/>
    </xf>
    <xf numFmtId="37" fontId="0" fillId="5" borderId="3" xfId="0" applyNumberFormat="1" applyFill="1" applyBorder="1" applyProtection="1">
      <protection hidden="1"/>
    </xf>
    <xf numFmtId="37" fontId="22" fillId="0" borderId="0" xfId="0" applyNumberFormat="1" applyFont="1" applyProtection="1">
      <protection hidden="1"/>
    </xf>
    <xf numFmtId="0" fontId="19" fillId="5" borderId="1" xfId="0" applyFont="1" applyFill="1" applyBorder="1" applyAlignment="1" applyProtection="1">
      <alignment horizontal="center"/>
      <protection hidden="1"/>
    </xf>
    <xf numFmtId="174" fontId="22" fillId="0" borderId="0" xfId="1" applyNumberFormat="1" applyFont="1" applyProtection="1">
      <protection hidden="1"/>
    </xf>
    <xf numFmtId="39" fontId="0" fillId="5" borderId="1" xfId="0" applyNumberFormat="1" applyFill="1" applyBorder="1" applyProtection="1">
      <protection hidden="1"/>
    </xf>
    <xf numFmtId="39" fontId="0" fillId="5" borderId="2" xfId="0" applyNumberFormat="1" applyFill="1" applyBorder="1" applyProtection="1">
      <protection hidden="1"/>
    </xf>
    <xf numFmtId="39" fontId="31" fillId="5" borderId="3" xfId="0" applyNumberFormat="1" applyFont="1" applyFill="1" applyBorder="1" applyProtection="1">
      <protection hidden="1"/>
    </xf>
    <xf numFmtId="166" fontId="15" fillId="0" borderId="0" xfId="1" applyNumberFormat="1" applyFont="1" applyProtection="1">
      <protection hidden="1"/>
    </xf>
    <xf numFmtId="37" fontId="19" fillId="9" borderId="3" xfId="0" applyNumberFormat="1" applyFont="1" applyFill="1" applyBorder="1" applyProtection="1">
      <protection hidden="1"/>
    </xf>
    <xf numFmtId="0" fontId="0" fillId="9" borderId="1" xfId="0" applyFont="1" applyFill="1" applyBorder="1" applyProtection="1">
      <protection hidden="1"/>
    </xf>
    <xf numFmtId="0" fontId="23" fillId="0" borderId="0" xfId="0" applyFont="1" applyProtection="1">
      <protection hidden="1"/>
    </xf>
    <xf numFmtId="0" fontId="0" fillId="0" borderId="0" xfId="0" applyFont="1" applyProtection="1">
      <protection hidden="1"/>
    </xf>
    <xf numFmtId="0" fontId="0" fillId="5" borderId="1" xfId="0" applyFont="1" applyFill="1" applyBorder="1" applyProtection="1">
      <protection hidden="1"/>
    </xf>
    <xf numFmtId="0" fontId="0" fillId="5" borderId="2" xfId="0" applyFont="1" applyFill="1" applyBorder="1" applyProtection="1">
      <protection hidden="1"/>
    </xf>
    <xf numFmtId="37" fontId="0" fillId="5" borderId="1" xfId="0" applyNumberFormat="1" applyFont="1" applyFill="1" applyBorder="1" applyProtection="1">
      <protection hidden="1"/>
    </xf>
    <xf numFmtId="37" fontId="0" fillId="9" borderId="1" xfId="0" applyNumberFormat="1" applyFont="1" applyFill="1" applyBorder="1" applyProtection="1">
      <protection hidden="1"/>
    </xf>
    <xf numFmtId="37" fontId="0" fillId="9" borderId="2" xfId="0" applyNumberFormat="1" applyFont="1" applyFill="1" applyBorder="1" applyProtection="1">
      <protection hidden="1"/>
    </xf>
    <xf numFmtId="37" fontId="0" fillId="9" borderId="3" xfId="0" applyNumberFormat="1" applyFont="1" applyFill="1" applyBorder="1" applyProtection="1">
      <protection hidden="1"/>
    </xf>
    <xf numFmtId="0" fontId="0" fillId="9" borderId="2" xfId="0" applyFont="1" applyFill="1" applyBorder="1" applyProtection="1">
      <protection hidden="1"/>
    </xf>
    <xf numFmtId="37" fontId="31" fillId="9" borderId="3" xfId="0" applyNumberFormat="1" applyFont="1" applyFill="1" applyBorder="1" applyAlignment="1" applyProtection="1">
      <alignment horizontal="right"/>
      <protection hidden="1"/>
    </xf>
    <xf numFmtId="37" fontId="18" fillId="9" borderId="1" xfId="0" applyNumberFormat="1" applyFont="1" applyFill="1" applyBorder="1" applyProtection="1">
      <protection hidden="1"/>
    </xf>
    <xf numFmtId="0" fontId="18" fillId="9" borderId="2" xfId="0" applyFont="1" applyFill="1" applyBorder="1" applyProtection="1">
      <protection hidden="1"/>
    </xf>
    <xf numFmtId="37" fontId="18" fillId="9" borderId="3" xfId="0" applyNumberFormat="1" applyFont="1" applyFill="1" applyBorder="1" applyProtection="1">
      <protection hidden="1"/>
    </xf>
    <xf numFmtId="0" fontId="19" fillId="5" borderId="1" xfId="0" applyFont="1" applyFill="1" applyBorder="1" applyProtection="1">
      <protection hidden="1"/>
    </xf>
    <xf numFmtId="37" fontId="19" fillId="5" borderId="1" xfId="0" applyNumberFormat="1" applyFont="1" applyFill="1" applyBorder="1" applyProtection="1">
      <protection hidden="1"/>
    </xf>
    <xf numFmtId="37" fontId="19" fillId="5" borderId="3" xfId="0" applyNumberFormat="1" applyFont="1" applyFill="1" applyBorder="1" applyProtection="1">
      <protection hidden="1"/>
    </xf>
    <xf numFmtId="0" fontId="0" fillId="5" borderId="3" xfId="0" applyFont="1" applyFill="1" applyBorder="1" applyProtection="1">
      <protection hidden="1"/>
    </xf>
    <xf numFmtId="0" fontId="32" fillId="6" borderId="71" xfId="0" applyFont="1" applyFill="1" applyBorder="1" applyAlignment="1">
      <alignment horizontal="center" vertical="center" wrapText="1"/>
    </xf>
    <xf numFmtId="0" fontId="8" fillId="10" borderId="16" xfId="0" applyFont="1" applyFill="1" applyBorder="1" applyAlignment="1" applyProtection="1">
      <alignment horizontal="center" vertical="center" wrapText="1"/>
      <protection hidden="1"/>
    </xf>
    <xf numFmtId="0" fontId="1" fillId="10" borderId="16" xfId="0" applyFont="1" applyFill="1" applyBorder="1" applyAlignment="1" applyProtection="1">
      <alignment horizontal="center" vertical="center" wrapText="1"/>
      <protection hidden="1"/>
    </xf>
    <xf numFmtId="171" fontId="33" fillId="10" borderId="80" xfId="1" applyNumberFormat="1" applyFont="1" applyFill="1" applyBorder="1" applyAlignment="1">
      <alignment vertical="center" wrapText="1"/>
    </xf>
    <xf numFmtId="167" fontId="0" fillId="3" borderId="1" xfId="0" applyNumberFormat="1" applyFill="1" applyBorder="1"/>
    <xf numFmtId="167" fontId="0" fillId="3" borderId="2" xfId="0" applyNumberFormat="1" applyFill="1" applyBorder="1"/>
    <xf numFmtId="167" fontId="0" fillId="3" borderId="3" xfId="0" applyNumberFormat="1" applyFill="1" applyBorder="1"/>
    <xf numFmtId="37" fontId="0" fillId="11" borderId="3" xfId="0" applyNumberFormat="1" applyFill="1" applyBorder="1"/>
    <xf numFmtId="10" fontId="15" fillId="12" borderId="3" xfId="2" applyNumberFormat="1" applyFont="1" applyFill="1" applyBorder="1"/>
    <xf numFmtId="39" fontId="0" fillId="0" borderId="3" xfId="0" applyNumberFormat="1" applyFont="1" applyFill="1" applyBorder="1"/>
    <xf numFmtId="37" fontId="31" fillId="0" borderId="5" xfId="0" applyNumberFormat="1" applyFont="1" applyFill="1" applyBorder="1" applyProtection="1">
      <protection hidden="1"/>
    </xf>
    <xf numFmtId="37" fontId="0" fillId="0" borderId="3" xfId="0" applyNumberFormat="1" applyFont="1" applyFill="1" applyBorder="1" applyProtection="1">
      <protection hidden="1"/>
    </xf>
    <xf numFmtId="39" fontId="0" fillId="0" borderId="3" xfId="0" applyNumberFormat="1" applyFont="1" applyFill="1" applyBorder="1" applyProtection="1">
      <protection hidden="1"/>
    </xf>
    <xf numFmtId="0" fontId="0" fillId="12" borderId="1" xfId="0" applyFont="1" applyFill="1" applyBorder="1"/>
    <xf numFmtId="37" fontId="19" fillId="12" borderId="3" xfId="0" applyNumberFormat="1" applyFont="1" applyFill="1" applyBorder="1"/>
    <xf numFmtId="39" fontId="0" fillId="12" borderId="0" xfId="0" applyNumberFormat="1" applyFont="1" applyFill="1" applyBorder="1"/>
    <xf numFmtId="37" fontId="0" fillId="12" borderId="0" xfId="0" applyNumberFormat="1" applyFont="1" applyFill="1" applyBorder="1"/>
    <xf numFmtId="0" fontId="34" fillId="0" borderId="16" xfId="0" applyFont="1" applyBorder="1" applyAlignment="1">
      <alignment horizontal="center"/>
    </xf>
    <xf numFmtId="0" fontId="7" fillId="10" borderId="16" xfId="0" applyFont="1" applyFill="1" applyBorder="1"/>
    <xf numFmtId="166" fontId="7" fillId="10" borderId="16" xfId="1" applyFont="1" applyFill="1" applyBorder="1"/>
    <xf numFmtId="39" fontId="35" fillId="10" borderId="16" xfId="0" applyNumberFormat="1" applyFont="1" applyFill="1" applyBorder="1" applyAlignment="1">
      <alignment horizontal="center" vertical="center" wrapText="1"/>
    </xf>
    <xf numFmtId="37" fontId="0" fillId="12" borderId="3" xfId="0" applyNumberFormat="1" applyFont="1" applyFill="1" applyBorder="1"/>
    <xf numFmtId="37" fontId="0" fillId="12" borderId="11" xfId="0" applyNumberFormat="1" applyFont="1" applyFill="1" applyBorder="1"/>
    <xf numFmtId="37" fontId="0" fillId="5" borderId="6" xfId="0" applyNumberFormat="1" applyFill="1" applyBorder="1" applyProtection="1">
      <protection hidden="1"/>
    </xf>
    <xf numFmtId="0" fontId="0" fillId="5" borderId="0" xfId="0" applyFill="1" applyBorder="1" applyProtection="1">
      <protection hidden="1"/>
    </xf>
    <xf numFmtId="174" fontId="36" fillId="0" borderId="0" xfId="1" applyNumberFormat="1" applyFont="1" applyProtection="1">
      <protection hidden="1"/>
    </xf>
    <xf numFmtId="37" fontId="36" fillId="5" borderId="3" xfId="0" applyNumberFormat="1" applyFont="1" applyFill="1" applyBorder="1" applyProtection="1">
      <protection hidden="1"/>
    </xf>
    <xf numFmtId="168" fontId="1" fillId="0" borderId="15" xfId="2" applyNumberFormat="1" applyFont="1" applyBorder="1" applyProtection="1">
      <protection hidden="1"/>
    </xf>
    <xf numFmtId="0" fontId="0" fillId="0" borderId="0" xfId="0" applyAlignment="1" applyProtection="1">
      <protection hidden="1"/>
    </xf>
    <xf numFmtId="174" fontId="15" fillId="0" borderId="0" xfId="1" applyNumberFormat="1" applyFont="1" applyAlignment="1" applyProtection="1">
      <alignment horizontal="centerContinuous"/>
      <protection hidden="1"/>
    </xf>
    <xf numFmtId="0" fontId="37" fillId="8" borderId="0" xfId="0" applyFont="1" applyFill="1" applyAlignment="1" applyProtection="1">
      <alignment horizontal="centerContinuous"/>
      <protection hidden="1"/>
    </xf>
    <xf numFmtId="0" fontId="22" fillId="0" borderId="0" xfId="0" applyFont="1" applyAlignment="1" applyProtection="1">
      <alignment horizontal="centerContinuous"/>
      <protection hidden="1"/>
    </xf>
    <xf numFmtId="37" fontId="0" fillId="0" borderId="0" xfId="0" applyNumberFormat="1" applyFill="1" applyBorder="1" applyProtection="1">
      <protection hidden="1"/>
    </xf>
    <xf numFmtId="171" fontId="24" fillId="6" borderId="71" xfId="1" applyNumberFormat="1" applyFont="1" applyFill="1" applyBorder="1" applyAlignment="1">
      <alignment horizontal="center" vertical="center" wrapText="1"/>
    </xf>
    <xf numFmtId="166" fontId="15" fillId="0" borderId="0" xfId="1" applyNumberFormat="1" applyFont="1" applyBorder="1" applyProtection="1">
      <protection hidden="1"/>
    </xf>
    <xf numFmtId="0" fontId="0" fillId="5" borderId="20" xfId="0" applyFill="1" applyBorder="1" applyProtection="1">
      <protection hidden="1"/>
    </xf>
    <xf numFmtId="0" fontId="0" fillId="5" borderId="21" xfId="0" applyFill="1" applyBorder="1" applyProtection="1">
      <protection hidden="1"/>
    </xf>
    <xf numFmtId="37" fontId="0" fillId="5" borderId="21" xfId="0" applyNumberFormat="1" applyFill="1" applyBorder="1" applyProtection="1">
      <protection hidden="1"/>
    </xf>
    <xf numFmtId="174" fontId="15" fillId="5" borderId="22" xfId="1" applyNumberFormat="1" applyFont="1" applyFill="1" applyBorder="1" applyProtection="1">
      <protection hidden="1"/>
    </xf>
    <xf numFmtId="39" fontId="31" fillId="5" borderId="21" xfId="0" applyNumberFormat="1" applyFont="1" applyFill="1" applyBorder="1" applyProtection="1">
      <protection hidden="1"/>
    </xf>
    <xf numFmtId="37" fontId="19" fillId="9" borderId="21" xfId="0" applyNumberFormat="1" applyFont="1" applyFill="1" applyBorder="1" applyProtection="1">
      <protection hidden="1"/>
    </xf>
    <xf numFmtId="0" fontId="19" fillId="5" borderId="20" xfId="0" applyFont="1" applyFill="1" applyBorder="1" applyProtection="1">
      <protection hidden="1"/>
    </xf>
    <xf numFmtId="0" fontId="0" fillId="5" borderId="23" xfId="0" applyFill="1" applyBorder="1" applyProtection="1">
      <protection hidden="1"/>
    </xf>
    <xf numFmtId="0" fontId="0" fillId="5" borderId="23" xfId="0" applyFill="1" applyBorder="1" applyAlignment="1" applyProtection="1">
      <alignment wrapText="1"/>
      <protection hidden="1"/>
    </xf>
    <xf numFmtId="0" fontId="19" fillId="5" borderId="24" xfId="0" applyFont="1" applyFill="1" applyBorder="1" applyAlignment="1" applyProtection="1">
      <alignment horizontal="center" vertical="center"/>
      <protection hidden="1"/>
    </xf>
    <xf numFmtId="0" fontId="19" fillId="5" borderId="25" xfId="0" applyFont="1" applyFill="1" applyBorder="1" applyAlignment="1" applyProtection="1">
      <alignment horizontal="center" vertical="center"/>
      <protection hidden="1"/>
    </xf>
    <xf numFmtId="174" fontId="15" fillId="0" borderId="17" xfId="1" applyNumberFormat="1" applyFont="1" applyBorder="1" applyProtection="1">
      <protection hidden="1"/>
    </xf>
    <xf numFmtId="0" fontId="22" fillId="0" borderId="17" xfId="0" applyFont="1" applyBorder="1" applyProtection="1">
      <protection hidden="1"/>
    </xf>
    <xf numFmtId="0" fontId="19" fillId="5" borderId="26" xfId="0" applyFont="1" applyFill="1" applyBorder="1" applyAlignment="1" applyProtection="1">
      <alignment horizontal="center" vertical="center"/>
      <protection hidden="1"/>
    </xf>
    <xf numFmtId="0" fontId="0" fillId="5" borderId="20" xfId="0" applyFont="1" applyFill="1" applyBorder="1" applyProtection="1">
      <protection hidden="1"/>
    </xf>
    <xf numFmtId="174" fontId="15" fillId="0" borderId="0" xfId="1" applyNumberFormat="1" applyFont="1" applyBorder="1" applyProtection="1">
      <protection hidden="1"/>
    </xf>
    <xf numFmtId="0" fontId="22" fillId="0" borderId="0" xfId="0" applyFont="1" applyBorder="1" applyProtection="1">
      <protection hidden="1"/>
    </xf>
    <xf numFmtId="37" fontId="0" fillId="5" borderId="27" xfId="0" applyNumberFormat="1" applyFont="1" applyFill="1" applyBorder="1" applyProtection="1">
      <protection hidden="1"/>
    </xf>
    <xf numFmtId="0" fontId="0" fillId="9" borderId="20" xfId="0" applyFont="1" applyFill="1" applyBorder="1" applyProtection="1">
      <protection hidden="1"/>
    </xf>
    <xf numFmtId="37" fontId="0" fillId="9" borderId="27" xfId="0" applyNumberFormat="1" applyFont="1" applyFill="1" applyBorder="1" applyProtection="1">
      <protection hidden="1"/>
    </xf>
    <xf numFmtId="37" fontId="18" fillId="9" borderId="27" xfId="0" applyNumberFormat="1" applyFont="1" applyFill="1" applyBorder="1" applyProtection="1">
      <protection hidden="1"/>
    </xf>
    <xf numFmtId="37" fontId="19" fillId="5" borderId="27" xfId="0" applyNumberFormat="1" applyFont="1" applyFill="1" applyBorder="1" applyProtection="1">
      <protection hidden="1"/>
    </xf>
    <xf numFmtId="0" fontId="19" fillId="5" borderId="28" xfId="0" applyFont="1" applyFill="1" applyBorder="1" applyProtection="1">
      <protection hidden="1"/>
    </xf>
    <xf numFmtId="0" fontId="19" fillId="5" borderId="29" xfId="0" applyFont="1" applyFill="1" applyBorder="1" applyProtection="1">
      <protection hidden="1"/>
    </xf>
    <xf numFmtId="172" fontId="25" fillId="6" borderId="0" xfId="1" applyNumberFormat="1" applyFont="1" applyFill="1" applyBorder="1" applyAlignment="1">
      <alignment vertical="center" wrapText="1"/>
    </xf>
    <xf numFmtId="172" fontId="25" fillId="6" borderId="0" xfId="1" applyNumberFormat="1" applyFont="1" applyFill="1" applyBorder="1" applyAlignment="1">
      <alignment horizontal="center" vertical="center" wrapText="1"/>
    </xf>
    <xf numFmtId="166" fontId="25" fillId="6" borderId="0" xfId="1" applyFont="1" applyFill="1" applyBorder="1" applyAlignment="1">
      <alignment vertical="center" wrapText="1"/>
    </xf>
    <xf numFmtId="0" fontId="2" fillId="0" borderId="0" xfId="0" applyFont="1" applyBorder="1"/>
    <xf numFmtId="172" fontId="3" fillId="0" borderId="0" xfId="1" applyNumberFormat="1" applyFont="1" applyBorder="1" applyProtection="1">
      <protection hidden="1"/>
    </xf>
    <xf numFmtId="3" fontId="0" fillId="0" borderId="3" xfId="0" applyNumberFormat="1" applyFont="1" applyFill="1" applyBorder="1" applyProtection="1">
      <protection hidden="1"/>
    </xf>
    <xf numFmtId="0" fontId="0" fillId="0" borderId="2" xfId="0" applyFont="1" applyFill="1" applyBorder="1" applyProtection="1">
      <protection hidden="1"/>
    </xf>
    <xf numFmtId="174" fontId="15" fillId="0" borderId="0" xfId="1" applyNumberFormat="1" applyFont="1" applyFill="1" applyBorder="1" applyProtection="1">
      <protection hidden="1"/>
    </xf>
    <xf numFmtId="0" fontId="22" fillId="0" borderId="0" xfId="0" applyFont="1" applyFill="1" applyBorder="1" applyProtection="1">
      <protection hidden="1"/>
    </xf>
    <xf numFmtId="37" fontId="0" fillId="0" borderId="27" xfId="0" applyNumberFormat="1" applyFont="1" applyFill="1" applyBorder="1" applyProtection="1">
      <protection hidden="1"/>
    </xf>
    <xf numFmtId="37" fontId="0" fillId="0" borderId="5" xfId="0" applyNumberFormat="1" applyFont="1" applyFill="1" applyBorder="1" applyProtection="1">
      <protection hidden="1"/>
    </xf>
    <xf numFmtId="37" fontId="0" fillId="0" borderId="2" xfId="0" applyNumberFormat="1" applyFont="1" applyFill="1" applyBorder="1" applyProtection="1">
      <protection hidden="1"/>
    </xf>
    <xf numFmtId="37" fontId="0" fillId="0" borderId="30" xfId="0" applyNumberFormat="1" applyFont="1" applyFill="1" applyBorder="1" applyProtection="1">
      <protection hidden="1"/>
    </xf>
    <xf numFmtId="37" fontId="0" fillId="0" borderId="1" xfId="0" applyNumberFormat="1" applyFont="1" applyFill="1" applyBorder="1" applyProtection="1">
      <protection hidden="1"/>
    </xf>
    <xf numFmtId="37" fontId="0" fillId="0" borderId="4" xfId="0" applyNumberFormat="1" applyFont="1" applyFill="1" applyBorder="1" applyProtection="1">
      <protection hidden="1"/>
    </xf>
    <xf numFmtId="0" fontId="18" fillId="0" borderId="2" xfId="0" applyFont="1" applyFill="1" applyBorder="1" applyProtection="1">
      <protection hidden="1"/>
    </xf>
    <xf numFmtId="39" fontId="0" fillId="0" borderId="1" xfId="0" applyNumberFormat="1" applyFont="1" applyFill="1" applyBorder="1" applyProtection="1">
      <protection hidden="1"/>
    </xf>
    <xf numFmtId="37" fontId="0" fillId="0" borderId="3" xfId="0" applyNumberFormat="1" applyFill="1" applyBorder="1" applyProtection="1">
      <protection hidden="1"/>
    </xf>
    <xf numFmtId="39" fontId="0" fillId="0" borderId="0" xfId="0" applyNumberFormat="1" applyProtection="1">
      <protection hidden="1"/>
    </xf>
    <xf numFmtId="174" fontId="15" fillId="0" borderId="0" xfId="1" applyNumberFormat="1" applyFont="1" applyAlignment="1" applyProtection="1">
      <protection hidden="1"/>
    </xf>
    <xf numFmtId="174" fontId="15" fillId="0" borderId="0" xfId="1" applyNumberFormat="1" applyFont="1" applyFill="1" applyProtection="1">
      <protection hidden="1"/>
    </xf>
    <xf numFmtId="37" fontId="0" fillId="0" borderId="2" xfId="0" applyNumberFormat="1" applyFill="1" applyBorder="1" applyProtection="1">
      <protection hidden="1"/>
    </xf>
    <xf numFmtId="0" fontId="0" fillId="0" borderId="20" xfId="0" applyFont="1" applyFill="1" applyBorder="1" applyProtection="1">
      <protection hidden="1"/>
    </xf>
    <xf numFmtId="0" fontId="0" fillId="0" borderId="1" xfId="0" applyFont="1" applyFill="1" applyBorder="1" applyProtection="1">
      <protection hidden="1"/>
    </xf>
    <xf numFmtId="9" fontId="15" fillId="0" borderId="0" xfId="2" applyFont="1" applyProtection="1">
      <protection hidden="1"/>
    </xf>
    <xf numFmtId="37" fontId="38" fillId="11" borderId="31" xfId="0" applyNumberFormat="1" applyFont="1" applyFill="1" applyBorder="1" applyProtection="1">
      <protection hidden="1"/>
    </xf>
    <xf numFmtId="0" fontId="19" fillId="7" borderId="19" xfId="0" applyFont="1" applyFill="1" applyBorder="1" applyAlignment="1" applyProtection="1">
      <alignment horizontal="right"/>
      <protection hidden="1"/>
    </xf>
    <xf numFmtId="0" fontId="30" fillId="7" borderId="15" xfId="0" applyFont="1" applyFill="1" applyBorder="1" applyAlignment="1" applyProtection="1">
      <alignment horizontal="center"/>
      <protection hidden="1"/>
    </xf>
    <xf numFmtId="37" fontId="0" fillId="0" borderId="1" xfId="0" applyNumberFormat="1" applyFill="1" applyBorder="1" applyProtection="1">
      <protection hidden="1"/>
    </xf>
    <xf numFmtId="37" fontId="0" fillId="0" borderId="21" xfId="0" applyNumberFormat="1" applyFill="1" applyBorder="1" applyProtection="1">
      <protection hidden="1"/>
    </xf>
    <xf numFmtId="37" fontId="19" fillId="0" borderId="3" xfId="0" applyNumberFormat="1" applyFont="1" applyFill="1" applyBorder="1" applyProtection="1">
      <protection hidden="1"/>
    </xf>
    <xf numFmtId="37" fontId="39" fillId="0" borderId="3" xfId="0" applyNumberFormat="1" applyFont="1" applyFill="1" applyBorder="1" applyProtection="1">
      <protection hidden="1"/>
    </xf>
    <xf numFmtId="0" fontId="40" fillId="13" borderId="13" xfId="0" applyFont="1" applyFill="1" applyBorder="1" applyAlignment="1" applyProtection="1">
      <alignment horizontal="center"/>
      <protection hidden="1"/>
    </xf>
    <xf numFmtId="0" fontId="0" fillId="0" borderId="0" xfId="0" applyFont="1" applyFill="1" applyBorder="1" applyProtection="1">
      <protection hidden="1"/>
    </xf>
    <xf numFmtId="0" fontId="39" fillId="9" borderId="2" xfId="0" applyFont="1" applyFill="1" applyBorder="1" applyProtection="1">
      <protection hidden="1"/>
    </xf>
    <xf numFmtId="37" fontId="41" fillId="9" borderId="1" xfId="0" applyNumberFormat="1" applyFont="1" applyFill="1" applyBorder="1" applyProtection="1">
      <protection hidden="1"/>
    </xf>
    <xf numFmtId="174" fontId="41" fillId="0" borderId="0" xfId="1" applyNumberFormat="1" applyFont="1" applyBorder="1" applyProtection="1">
      <protection hidden="1"/>
    </xf>
    <xf numFmtId="0" fontId="10" fillId="0" borderId="0" xfId="0" applyFont="1" applyBorder="1" applyProtection="1">
      <protection hidden="1"/>
    </xf>
    <xf numFmtId="37" fontId="41" fillId="9" borderId="27" xfId="0" applyNumberFormat="1" applyFont="1" applyFill="1" applyBorder="1" applyProtection="1">
      <protection hidden="1"/>
    </xf>
    <xf numFmtId="174" fontId="15" fillId="0" borderId="32" xfId="1" applyNumberFormat="1" applyFont="1" applyBorder="1" applyProtection="1">
      <protection hidden="1"/>
    </xf>
    <xf numFmtId="174" fontId="27" fillId="0" borderId="16" xfId="1" applyNumberFormat="1" applyFont="1" applyFill="1" applyBorder="1" applyAlignment="1" applyProtection="1">
      <alignment horizontal="center"/>
      <protection hidden="1"/>
    </xf>
    <xf numFmtId="174" fontId="26" fillId="0" borderId="16" xfId="1" applyNumberFormat="1" applyFont="1" applyFill="1" applyBorder="1" applyAlignment="1" applyProtection="1">
      <alignment horizontal="center"/>
      <protection hidden="1"/>
    </xf>
    <xf numFmtId="37" fontId="0" fillId="0" borderId="0" xfId="0" applyNumberFormat="1" applyFont="1" applyProtection="1">
      <protection hidden="1"/>
    </xf>
    <xf numFmtId="166" fontId="15" fillId="9" borderId="1" xfId="1" applyFont="1" applyFill="1" applyBorder="1" applyProtection="1">
      <protection hidden="1"/>
    </xf>
    <xf numFmtId="166" fontId="15" fillId="9" borderId="2" xfId="1" applyFont="1" applyFill="1" applyBorder="1" applyProtection="1">
      <protection hidden="1"/>
    </xf>
    <xf numFmtId="166" fontId="15" fillId="9" borderId="3" xfId="1" applyFont="1" applyFill="1" applyBorder="1" applyProtection="1">
      <protection hidden="1"/>
    </xf>
    <xf numFmtId="0" fontId="0" fillId="0" borderId="0" xfId="0" applyFont="1" applyAlignment="1" applyProtection="1">
      <alignment vertical="center"/>
      <protection hidden="1"/>
    </xf>
    <xf numFmtId="0" fontId="0" fillId="7" borderId="33" xfId="0" applyFont="1" applyFill="1" applyBorder="1" applyProtection="1">
      <protection hidden="1"/>
    </xf>
    <xf numFmtId="0" fontId="0" fillId="7" borderId="9" xfId="0" applyFont="1" applyFill="1" applyBorder="1" applyProtection="1">
      <protection hidden="1"/>
    </xf>
    <xf numFmtId="166" fontId="15" fillId="7" borderId="9" xfId="1" applyFont="1" applyFill="1" applyBorder="1" applyProtection="1">
      <protection hidden="1"/>
    </xf>
    <xf numFmtId="166" fontId="15" fillId="7" borderId="6" xfId="1" applyFont="1" applyFill="1" applyBorder="1" applyProtection="1">
      <protection hidden="1"/>
    </xf>
    <xf numFmtId="166" fontId="15" fillId="7" borderId="8" xfId="1" applyFont="1" applyFill="1" applyBorder="1" applyProtection="1">
      <protection hidden="1"/>
    </xf>
    <xf numFmtId="166" fontId="15" fillId="7" borderId="7" xfId="1" applyFont="1" applyFill="1" applyBorder="1" applyProtection="1">
      <protection hidden="1"/>
    </xf>
    <xf numFmtId="166" fontId="22" fillId="7" borderId="7" xfId="1" applyFont="1" applyFill="1" applyBorder="1" applyProtection="1">
      <protection hidden="1"/>
    </xf>
    <xf numFmtId="0" fontId="0" fillId="7" borderId="22" xfId="0" applyFont="1" applyFill="1" applyBorder="1" applyProtection="1">
      <protection hidden="1"/>
    </xf>
    <xf numFmtId="0" fontId="0" fillId="7" borderId="18" xfId="0" applyFont="1" applyFill="1" applyBorder="1" applyProtection="1">
      <protection hidden="1"/>
    </xf>
    <xf numFmtId="0" fontId="0" fillId="7" borderId="4" xfId="0" applyFont="1" applyFill="1" applyBorder="1" applyProtection="1">
      <protection hidden="1"/>
    </xf>
    <xf numFmtId="37" fontId="0" fillId="7" borderId="4" xfId="0" applyNumberFormat="1" applyFont="1" applyFill="1" applyBorder="1" applyProtection="1">
      <protection hidden="1"/>
    </xf>
    <xf numFmtId="37" fontId="0" fillId="7" borderId="10" xfId="0" applyNumberFormat="1" applyFont="1" applyFill="1" applyBorder="1" applyProtection="1">
      <protection hidden="1"/>
    </xf>
    <xf numFmtId="37" fontId="0" fillId="7" borderId="5" xfId="0" applyNumberFormat="1" applyFont="1" applyFill="1" applyBorder="1" applyProtection="1">
      <protection hidden="1"/>
    </xf>
    <xf numFmtId="0" fontId="0" fillId="7" borderId="10" xfId="0" applyFont="1" applyFill="1" applyBorder="1" applyProtection="1">
      <protection hidden="1"/>
    </xf>
    <xf numFmtId="174" fontId="15" fillId="7" borderId="11" xfId="1" applyNumberFormat="1" applyFont="1" applyFill="1" applyBorder="1" applyProtection="1">
      <protection hidden="1"/>
    </xf>
    <xf numFmtId="0" fontId="22" fillId="7" borderId="11" xfId="0" applyFont="1" applyFill="1" applyBorder="1" applyProtection="1">
      <protection hidden="1"/>
    </xf>
    <xf numFmtId="166" fontId="15" fillId="7" borderId="30" xfId="1" applyFont="1" applyFill="1" applyBorder="1" applyProtection="1">
      <protection hidden="1"/>
    </xf>
    <xf numFmtId="0" fontId="19" fillId="5" borderId="34" xfId="0" applyFont="1" applyFill="1" applyBorder="1" applyProtection="1">
      <protection hidden="1"/>
    </xf>
    <xf numFmtId="0" fontId="19" fillId="5" borderId="35" xfId="0" applyFont="1" applyFill="1" applyBorder="1" applyProtection="1">
      <protection hidden="1"/>
    </xf>
    <xf numFmtId="38" fontId="19" fillId="5" borderId="35" xfId="0" applyNumberFormat="1" applyFont="1" applyFill="1" applyBorder="1" applyProtection="1">
      <protection hidden="1"/>
    </xf>
    <xf numFmtId="38" fontId="0" fillId="5" borderId="36" xfId="0" applyNumberFormat="1" applyFont="1" applyFill="1" applyBorder="1" applyProtection="1">
      <protection hidden="1"/>
    </xf>
    <xf numFmtId="38" fontId="19" fillId="5" borderId="37" xfId="0" applyNumberFormat="1" applyFont="1" applyFill="1" applyBorder="1" applyProtection="1">
      <protection hidden="1"/>
    </xf>
    <xf numFmtId="174" fontId="15" fillId="0" borderId="38" xfId="1" applyNumberFormat="1" applyFont="1" applyBorder="1" applyProtection="1">
      <protection hidden="1"/>
    </xf>
    <xf numFmtId="0" fontId="22" fillId="0" borderId="38" xfId="0" applyFont="1" applyBorder="1" applyProtection="1">
      <protection hidden="1"/>
    </xf>
    <xf numFmtId="38" fontId="19" fillId="5" borderId="39" xfId="0" applyNumberFormat="1" applyFont="1" applyFill="1" applyBorder="1" applyProtection="1">
      <protection hidden="1"/>
    </xf>
    <xf numFmtId="0" fontId="11" fillId="0" borderId="0" xfId="0" applyFont="1"/>
    <xf numFmtId="0" fontId="26" fillId="0" borderId="0" xfId="0" applyFont="1" applyFill="1" applyBorder="1" applyAlignment="1">
      <alignment vertical="center" wrapText="1"/>
    </xf>
    <xf numFmtId="9" fontId="26" fillId="0" borderId="0" xfId="0" applyNumberFormat="1" applyFont="1" applyFill="1" applyBorder="1" applyAlignment="1">
      <alignment vertical="center" wrapText="1"/>
    </xf>
    <xf numFmtId="0" fontId="29" fillId="0" borderId="0" xfId="0" applyFont="1" applyFill="1" applyBorder="1" applyAlignment="1">
      <alignment vertical="center" wrapText="1"/>
    </xf>
    <xf numFmtId="0" fontId="2" fillId="0" borderId="0" xfId="0" applyFont="1" applyFill="1"/>
    <xf numFmtId="0" fontId="7" fillId="0" borderId="0" xfId="0" applyFont="1" applyFill="1" applyBorder="1"/>
    <xf numFmtId="0" fontId="34" fillId="0" borderId="0" xfId="0" applyFont="1" applyFill="1" applyBorder="1" applyAlignment="1">
      <alignment horizontal="center"/>
    </xf>
    <xf numFmtId="166" fontId="7" fillId="0" borderId="0" xfId="1" applyFont="1" applyFill="1" applyBorder="1"/>
    <xf numFmtId="0" fontId="42" fillId="5" borderId="40" xfId="0" applyFont="1" applyFill="1" applyBorder="1" applyAlignment="1" applyProtection="1">
      <alignment horizontal="center" vertical="center" wrapText="1"/>
      <protection hidden="1"/>
    </xf>
    <xf numFmtId="37" fontId="19" fillId="0" borderId="2" xfId="0" applyNumberFormat="1" applyFont="1" applyFill="1" applyBorder="1" applyProtection="1">
      <protection hidden="1"/>
    </xf>
    <xf numFmtId="174" fontId="19" fillId="0" borderId="0" xfId="1" applyNumberFormat="1" applyFont="1" applyFill="1" applyBorder="1" applyProtection="1">
      <protection hidden="1"/>
    </xf>
    <xf numFmtId="0" fontId="21" fillId="0" borderId="0" xfId="0" applyFont="1" applyFill="1" applyBorder="1" applyProtection="1">
      <protection hidden="1"/>
    </xf>
    <xf numFmtId="37" fontId="19" fillId="0" borderId="27" xfId="0" applyNumberFormat="1" applyFont="1" applyFill="1" applyBorder="1" applyProtection="1">
      <protection hidden="1"/>
    </xf>
    <xf numFmtId="166" fontId="43" fillId="9" borderId="2" xfId="1" applyFont="1" applyFill="1" applyBorder="1" applyProtection="1">
      <protection hidden="1"/>
    </xf>
    <xf numFmtId="0" fontId="19" fillId="9" borderId="19" xfId="0" applyFont="1" applyFill="1" applyBorder="1" applyProtection="1">
      <protection hidden="1"/>
    </xf>
    <xf numFmtId="0" fontId="19" fillId="9" borderId="15" xfId="0" applyFont="1" applyFill="1" applyBorder="1" applyProtection="1">
      <protection hidden="1"/>
    </xf>
    <xf numFmtId="37" fontId="19" fillId="9" borderId="15" xfId="0" applyNumberFormat="1" applyFont="1" applyFill="1" applyBorder="1" applyProtection="1">
      <protection hidden="1"/>
    </xf>
    <xf numFmtId="37" fontId="19" fillId="9" borderId="12" xfId="0" applyNumberFormat="1" applyFont="1" applyFill="1" applyBorder="1" applyProtection="1">
      <protection hidden="1"/>
    </xf>
    <xf numFmtId="37" fontId="19" fillId="9" borderId="14" xfId="0" applyNumberFormat="1" applyFont="1" applyFill="1" applyBorder="1" applyProtection="1">
      <protection hidden="1"/>
    </xf>
    <xf numFmtId="174" fontId="19" fillId="7" borderId="13" xfId="1" applyNumberFormat="1" applyFont="1" applyFill="1" applyBorder="1" applyProtection="1">
      <protection hidden="1"/>
    </xf>
    <xf numFmtId="0" fontId="21" fillId="7" borderId="13" xfId="0" applyFont="1" applyFill="1" applyBorder="1" applyProtection="1">
      <protection hidden="1"/>
    </xf>
    <xf numFmtId="37" fontId="19" fillId="9" borderId="31" xfId="0" applyNumberFormat="1" applyFont="1" applyFill="1" applyBorder="1" applyProtection="1">
      <protection hidden="1"/>
    </xf>
    <xf numFmtId="9" fontId="19" fillId="5" borderId="1" xfId="2" applyNumberFormat="1" applyFont="1" applyFill="1" applyBorder="1" applyAlignment="1" applyProtection="1">
      <alignment horizontal="center"/>
      <protection hidden="1"/>
    </xf>
    <xf numFmtId="9" fontId="19" fillId="5" borderId="27" xfId="2" applyNumberFormat="1" applyFont="1" applyFill="1" applyBorder="1" applyAlignment="1" applyProtection="1">
      <alignment horizontal="center"/>
      <protection hidden="1"/>
    </xf>
    <xf numFmtId="9" fontId="19" fillId="5" borderId="29" xfId="2" applyNumberFormat="1" applyFont="1" applyFill="1" applyBorder="1" applyAlignment="1" applyProtection="1">
      <alignment horizontal="center"/>
      <protection hidden="1"/>
    </xf>
    <xf numFmtId="9" fontId="19" fillId="5" borderId="41" xfId="2" applyNumberFormat="1" applyFont="1" applyFill="1" applyBorder="1" applyAlignment="1" applyProtection="1">
      <alignment horizontal="center"/>
      <protection hidden="1"/>
    </xf>
    <xf numFmtId="9" fontId="15" fillId="0" borderId="42" xfId="1" applyNumberFormat="1" applyFont="1" applyBorder="1" applyProtection="1">
      <protection hidden="1"/>
    </xf>
    <xf numFmtId="9" fontId="22" fillId="0" borderId="42" xfId="0" applyNumberFormat="1" applyFont="1" applyBorder="1" applyProtection="1">
      <protection hidden="1"/>
    </xf>
    <xf numFmtId="9" fontId="19" fillId="5" borderId="43" xfId="2" applyNumberFormat="1" applyFont="1" applyFill="1" applyBorder="1" applyAlignment="1" applyProtection="1">
      <alignment horizontal="center"/>
      <protection hidden="1"/>
    </xf>
    <xf numFmtId="0" fontId="0" fillId="7" borderId="19" xfId="0" applyFont="1" applyFill="1" applyBorder="1" applyAlignment="1" applyProtection="1">
      <alignment horizontal="justify" vertical="center" wrapText="1"/>
      <protection hidden="1"/>
    </xf>
    <xf numFmtId="0" fontId="0" fillId="7" borderId="15" xfId="0" applyFont="1" applyFill="1" applyBorder="1" applyProtection="1">
      <protection hidden="1"/>
    </xf>
    <xf numFmtId="37" fontId="0" fillId="7" borderId="15" xfId="0" applyNumberFormat="1" applyFont="1" applyFill="1" applyBorder="1" applyProtection="1">
      <protection hidden="1"/>
    </xf>
    <xf numFmtId="37" fontId="0" fillId="7" borderId="12" xfId="0" applyNumberFormat="1" applyFont="1" applyFill="1" applyBorder="1" applyProtection="1">
      <protection hidden="1"/>
    </xf>
    <xf numFmtId="37" fontId="31" fillId="7" borderId="14" xfId="0" applyNumberFormat="1" applyFont="1" applyFill="1" applyBorder="1" applyProtection="1">
      <protection hidden="1"/>
    </xf>
    <xf numFmtId="0" fontId="18" fillId="7" borderId="12" xfId="0" applyFont="1" applyFill="1" applyBorder="1" applyProtection="1">
      <protection hidden="1"/>
    </xf>
    <xf numFmtId="37" fontId="31" fillId="7" borderId="14" xfId="0" applyNumberFormat="1" applyFont="1" applyFill="1" applyBorder="1" applyAlignment="1" applyProtection="1">
      <alignment vertical="center"/>
      <protection hidden="1"/>
    </xf>
    <xf numFmtId="174" fontId="15" fillId="7" borderId="13" xfId="1" applyNumberFormat="1" applyFont="1" applyFill="1" applyBorder="1" applyProtection="1">
      <protection hidden="1"/>
    </xf>
    <xf numFmtId="0" fontId="22" fillId="7" borderId="13" xfId="0" applyFont="1" applyFill="1" applyBorder="1" applyProtection="1">
      <protection hidden="1"/>
    </xf>
    <xf numFmtId="37" fontId="0" fillId="7" borderId="31" xfId="0" applyNumberFormat="1" applyFont="1" applyFill="1" applyBorder="1" applyProtection="1">
      <protection hidden="1"/>
    </xf>
    <xf numFmtId="174" fontId="15" fillId="0" borderId="0" xfId="1" applyNumberFormat="1" applyFont="1" applyProtection="1">
      <protection hidden="1"/>
    </xf>
    <xf numFmtId="174" fontId="15" fillId="0" borderId="44" xfId="1" applyNumberFormat="1" applyFont="1" applyBorder="1" applyProtection="1">
      <protection hidden="1"/>
    </xf>
    <xf numFmtId="0" fontId="0" fillId="0" borderId="0" xfId="0" applyFont="1" applyFill="1" applyProtection="1">
      <protection hidden="1"/>
    </xf>
    <xf numFmtId="37" fontId="0" fillId="0" borderId="0" xfId="0" applyNumberFormat="1" applyFont="1" applyFill="1" applyProtection="1">
      <protection hidden="1"/>
    </xf>
    <xf numFmtId="174" fontId="15" fillId="0" borderId="16" xfId="1" applyNumberFormat="1" applyFont="1" applyFill="1" applyBorder="1" applyAlignment="1" applyProtection="1">
      <alignment horizontal="center"/>
      <protection hidden="1"/>
    </xf>
    <xf numFmtId="37" fontId="31" fillId="0" borderId="0" xfId="0" applyNumberFormat="1" applyFont="1" applyFill="1" applyProtection="1">
      <protection hidden="1"/>
    </xf>
    <xf numFmtId="37" fontId="41" fillId="11" borderId="15" xfId="0" applyNumberFormat="1" applyFont="1" applyFill="1" applyBorder="1" applyProtection="1">
      <protection hidden="1"/>
    </xf>
    <xf numFmtId="37" fontId="36" fillId="9" borderId="3" xfId="0" applyNumberFormat="1" applyFont="1" applyFill="1" applyBorder="1" applyProtection="1">
      <protection hidden="1"/>
    </xf>
    <xf numFmtId="37" fontId="41" fillId="9" borderId="3" xfId="0" applyNumberFormat="1" applyFont="1" applyFill="1" applyBorder="1" applyProtection="1">
      <protection hidden="1"/>
    </xf>
    <xf numFmtId="10" fontId="41" fillId="8" borderId="31" xfId="2" applyNumberFormat="1" applyFont="1" applyFill="1" applyBorder="1" applyProtection="1">
      <protection hidden="1"/>
    </xf>
    <xf numFmtId="165" fontId="41" fillId="7" borderId="31" xfId="0" applyNumberFormat="1" applyFont="1" applyFill="1" applyBorder="1" applyProtection="1">
      <protection hidden="1"/>
    </xf>
    <xf numFmtId="10" fontId="41" fillId="7" borderId="31" xfId="2" applyNumberFormat="1" applyFont="1" applyFill="1" applyBorder="1" applyProtection="1">
      <protection hidden="1"/>
    </xf>
    <xf numFmtId="0" fontId="44" fillId="13" borderId="45" xfId="0" applyFont="1" applyFill="1" applyBorder="1" applyAlignment="1" applyProtection="1">
      <alignment horizontal="right"/>
      <protection hidden="1"/>
    </xf>
    <xf numFmtId="165" fontId="44" fillId="13" borderId="46" xfId="0" applyNumberFormat="1" applyFont="1" applyFill="1" applyBorder="1" applyAlignment="1" applyProtection="1">
      <alignment horizontal="right"/>
      <protection hidden="1"/>
    </xf>
    <xf numFmtId="0" fontId="0" fillId="0" borderId="0" xfId="0" applyAlignment="1" applyProtection="1">
      <protection hidden="1"/>
    </xf>
    <xf numFmtId="37" fontId="19" fillId="0" borderId="9" xfId="0" applyNumberFormat="1" applyFont="1" applyFill="1" applyBorder="1" applyProtection="1">
      <protection hidden="1"/>
    </xf>
    <xf numFmtId="0" fontId="19" fillId="5" borderId="33" xfId="0" applyFont="1" applyFill="1" applyBorder="1" applyProtection="1">
      <protection hidden="1"/>
    </xf>
    <xf numFmtId="174" fontId="15" fillId="0" borderId="16" xfId="1" applyNumberFormat="1" applyFont="1" applyBorder="1" applyProtection="1">
      <protection hidden="1"/>
    </xf>
    <xf numFmtId="39" fontId="0" fillId="9" borderId="27" xfId="0" applyNumberFormat="1" applyFont="1" applyFill="1" applyBorder="1" applyProtection="1">
      <protection hidden="1"/>
    </xf>
    <xf numFmtId="0" fontId="19" fillId="5" borderId="8" xfId="0" applyFont="1" applyFill="1" applyBorder="1" applyProtection="1">
      <protection hidden="1"/>
    </xf>
    <xf numFmtId="0" fontId="19" fillId="5" borderId="9" xfId="0" applyFont="1" applyFill="1" applyBorder="1" applyProtection="1">
      <protection hidden="1"/>
    </xf>
    <xf numFmtId="37" fontId="19" fillId="0" borderId="8" xfId="0" applyNumberFormat="1" applyFont="1" applyFill="1" applyBorder="1" applyProtection="1">
      <protection hidden="1"/>
    </xf>
    <xf numFmtId="3" fontId="19" fillId="0" borderId="7" xfId="0" applyNumberFormat="1" applyFont="1" applyFill="1" applyBorder="1" applyProtection="1">
      <protection hidden="1"/>
    </xf>
    <xf numFmtId="3" fontId="19" fillId="0" borderId="8" xfId="0" applyNumberFormat="1" applyFont="1" applyFill="1" applyBorder="1" applyProtection="1">
      <protection hidden="1"/>
    </xf>
    <xf numFmtId="0" fontId="19" fillId="0" borderId="7" xfId="0" applyFont="1" applyFill="1" applyBorder="1" applyProtection="1">
      <protection hidden="1"/>
    </xf>
    <xf numFmtId="174" fontId="19" fillId="0" borderId="7" xfId="1" applyNumberFormat="1" applyFont="1" applyFill="1" applyBorder="1" applyProtection="1">
      <protection hidden="1"/>
    </xf>
    <xf numFmtId="0" fontId="21" fillId="0" borderId="7" xfId="0" applyFont="1" applyFill="1" applyBorder="1" applyProtection="1">
      <protection hidden="1"/>
    </xf>
    <xf numFmtId="37" fontId="19" fillId="0" borderId="47" xfId="0" applyNumberFormat="1" applyFont="1" applyFill="1" applyBorder="1" applyProtection="1">
      <protection hidden="1"/>
    </xf>
    <xf numFmtId="37" fontId="19" fillId="0" borderId="1" xfId="0" applyNumberFormat="1" applyFont="1" applyFill="1" applyBorder="1" applyProtection="1">
      <protection hidden="1"/>
    </xf>
    <xf numFmtId="0" fontId="19" fillId="0" borderId="2" xfId="0" applyFont="1" applyFill="1" applyBorder="1" applyProtection="1">
      <protection hidden="1"/>
    </xf>
    <xf numFmtId="174" fontId="19" fillId="0" borderId="9" xfId="1" applyNumberFormat="1" applyFont="1" applyFill="1" applyBorder="1" applyProtection="1">
      <protection hidden="1"/>
    </xf>
    <xf numFmtId="37" fontId="36" fillId="7" borderId="15" xfId="0" applyNumberFormat="1" applyFont="1" applyFill="1" applyBorder="1" applyProtection="1">
      <protection locked="0"/>
    </xf>
    <xf numFmtId="37" fontId="36" fillId="7" borderId="3" xfId="0" applyNumberFormat="1" applyFont="1" applyFill="1" applyBorder="1" applyProtection="1">
      <protection locked="0"/>
    </xf>
    <xf numFmtId="0" fontId="0" fillId="3" borderId="20" xfId="0" applyFont="1" applyFill="1" applyBorder="1" applyProtection="1">
      <protection hidden="1"/>
    </xf>
    <xf numFmtId="0" fontId="0" fillId="3" borderId="1" xfId="0" applyFont="1" applyFill="1" applyBorder="1" applyProtection="1">
      <protection hidden="1"/>
    </xf>
    <xf numFmtId="37" fontId="0" fillId="3" borderId="3" xfId="0" applyNumberFormat="1" applyFont="1" applyFill="1" applyBorder="1" applyProtection="1">
      <protection hidden="1"/>
    </xf>
    <xf numFmtId="0" fontId="0" fillId="3" borderId="2" xfId="0" applyFont="1" applyFill="1" applyBorder="1" applyProtection="1">
      <protection hidden="1"/>
    </xf>
    <xf numFmtId="37" fontId="0" fillId="3" borderId="27" xfId="0" applyNumberFormat="1" applyFont="1" applyFill="1" applyBorder="1" applyProtection="1">
      <protection hidden="1"/>
    </xf>
    <xf numFmtId="0" fontId="43" fillId="5" borderId="25" xfId="0" applyFont="1" applyFill="1" applyBorder="1" applyAlignment="1" applyProtection="1">
      <alignment horizontal="center" vertical="center" textRotation="90" wrapText="1" readingOrder="2"/>
      <protection hidden="1"/>
    </xf>
    <xf numFmtId="174" fontId="15" fillId="0" borderId="48" xfId="1" applyNumberFormat="1" applyFont="1" applyFill="1" applyBorder="1" applyProtection="1">
      <protection hidden="1"/>
    </xf>
    <xf numFmtId="166" fontId="4" fillId="0" borderId="16" xfId="1" applyFont="1" applyBorder="1" applyProtection="1">
      <protection hidden="1"/>
    </xf>
    <xf numFmtId="0" fontId="0" fillId="7" borderId="8" xfId="0" applyFont="1" applyFill="1" applyBorder="1" applyProtection="1">
      <protection hidden="1"/>
    </xf>
    <xf numFmtId="37" fontId="31" fillId="7" borderId="8" xfId="0" applyNumberFormat="1" applyFont="1" applyFill="1" applyBorder="1" applyProtection="1">
      <protection hidden="1"/>
    </xf>
    <xf numFmtId="37" fontId="31" fillId="7" borderId="3" xfId="0" applyNumberFormat="1" applyFont="1" applyFill="1" applyBorder="1" applyProtection="1">
      <protection hidden="1"/>
    </xf>
    <xf numFmtId="37" fontId="0" fillId="7" borderId="15" xfId="0" applyNumberFormat="1" applyFill="1" applyBorder="1" applyProtection="1">
      <protection hidden="1"/>
    </xf>
    <xf numFmtId="37" fontId="31" fillId="7" borderId="22" xfId="0" applyNumberFormat="1" applyFont="1" applyFill="1" applyBorder="1" applyProtection="1">
      <protection hidden="1"/>
    </xf>
    <xf numFmtId="0" fontId="19" fillId="7" borderId="20" xfId="0" applyFont="1" applyFill="1" applyBorder="1" applyProtection="1">
      <protection hidden="1"/>
    </xf>
    <xf numFmtId="0" fontId="0" fillId="7" borderId="1" xfId="0" applyFont="1" applyFill="1" applyBorder="1" applyProtection="1">
      <protection hidden="1"/>
    </xf>
    <xf numFmtId="174" fontId="15" fillId="7" borderId="1" xfId="1" applyNumberFormat="1" applyFont="1" applyFill="1" applyBorder="1" applyProtection="1">
      <protection hidden="1"/>
    </xf>
    <xf numFmtId="174" fontId="15" fillId="7" borderId="2" xfId="1" applyNumberFormat="1" applyFont="1" applyFill="1" applyBorder="1" applyProtection="1">
      <protection hidden="1"/>
    </xf>
    <xf numFmtId="174" fontId="15" fillId="7" borderId="3" xfId="1" applyNumberFormat="1" applyFont="1" applyFill="1" applyBorder="1" applyProtection="1">
      <protection hidden="1"/>
    </xf>
    <xf numFmtId="166" fontId="15" fillId="7" borderId="3" xfId="1" applyFont="1" applyFill="1" applyBorder="1" applyProtection="1">
      <protection hidden="1"/>
    </xf>
    <xf numFmtId="174" fontId="15" fillId="7" borderId="27" xfId="1" applyNumberFormat="1" applyFont="1" applyFill="1" applyBorder="1" applyProtection="1">
      <protection hidden="1"/>
    </xf>
    <xf numFmtId="174" fontId="15" fillId="0" borderId="16" xfId="1" applyNumberFormat="1" applyFont="1" applyFill="1" applyBorder="1" applyAlignment="1" applyProtection="1">
      <alignment horizontal="center"/>
      <protection hidden="1"/>
    </xf>
    <xf numFmtId="174" fontId="15" fillId="0" borderId="0" xfId="1" applyNumberFormat="1" applyFont="1" applyProtection="1">
      <protection hidden="1"/>
    </xf>
    <xf numFmtId="174" fontId="0" fillId="0" borderId="0" xfId="0" applyNumberFormat="1" applyFont="1" applyProtection="1">
      <protection hidden="1"/>
    </xf>
    <xf numFmtId="174" fontId="15" fillId="11" borderId="32" xfId="1" applyNumberFormat="1" applyFont="1" applyFill="1" applyBorder="1" applyProtection="1">
      <protection hidden="1"/>
    </xf>
    <xf numFmtId="174" fontId="16" fillId="12" borderId="0" xfId="1" applyNumberFormat="1" applyFont="1" applyFill="1" applyProtection="1">
      <protection hidden="1"/>
    </xf>
    <xf numFmtId="37" fontId="16" fillId="12" borderId="0" xfId="0" applyNumberFormat="1" applyFont="1" applyFill="1" applyProtection="1">
      <protection hidden="1"/>
    </xf>
    <xf numFmtId="39" fontId="0" fillId="0" borderId="2" xfId="0" applyNumberFormat="1" applyFont="1" applyFill="1" applyBorder="1" applyProtection="1">
      <protection hidden="1"/>
    </xf>
    <xf numFmtId="174" fontId="15" fillId="0" borderId="21" xfId="1" applyNumberFormat="1" applyFont="1" applyBorder="1" applyProtection="1">
      <protection hidden="1"/>
    </xf>
    <xf numFmtId="174" fontId="45" fillId="0" borderId="16" xfId="1" applyNumberFormat="1" applyFont="1" applyBorder="1" applyAlignment="1" applyProtection="1">
      <alignment horizontal="center" vertical="center" wrapText="1"/>
      <protection hidden="1"/>
    </xf>
    <xf numFmtId="174" fontId="15" fillId="0" borderId="0" xfId="1" applyNumberFormat="1" applyFont="1" applyProtection="1">
      <protection hidden="1"/>
    </xf>
    <xf numFmtId="164" fontId="16" fillId="0" borderId="16" xfId="1" applyNumberFormat="1" applyFont="1" applyFill="1" applyBorder="1" applyAlignment="1" applyProtection="1">
      <alignment horizontal="center"/>
      <protection hidden="1"/>
    </xf>
    <xf numFmtId="174" fontId="15" fillId="0" borderId="16" xfId="1" applyNumberFormat="1" applyFont="1" applyFill="1" applyBorder="1" applyProtection="1">
      <protection hidden="1"/>
    </xf>
    <xf numFmtId="174" fontId="15" fillId="0" borderId="16" xfId="1" applyNumberFormat="1" applyFont="1" applyBorder="1" applyProtection="1">
      <protection hidden="1"/>
    </xf>
    <xf numFmtId="174" fontId="15" fillId="14" borderId="0" xfId="1" applyNumberFormat="1" applyFont="1" applyFill="1" applyProtection="1">
      <protection hidden="1"/>
    </xf>
    <xf numFmtId="174" fontId="15" fillId="14" borderId="0" xfId="1" applyNumberFormat="1" applyFont="1" applyFill="1" applyProtection="1">
      <protection hidden="1"/>
    </xf>
    <xf numFmtId="174" fontId="15" fillId="0" borderId="32" xfId="1" applyNumberFormat="1" applyFont="1" applyFill="1" applyBorder="1" applyProtection="1">
      <protection hidden="1"/>
    </xf>
    <xf numFmtId="174" fontId="15" fillId="0" borderId="44" xfId="1" applyNumberFormat="1" applyFont="1" applyFill="1" applyBorder="1" applyProtection="1">
      <protection hidden="1"/>
    </xf>
    <xf numFmtId="174" fontId="15" fillId="13" borderId="32" xfId="1" applyNumberFormat="1" applyFont="1" applyFill="1" applyBorder="1" applyProtection="1">
      <protection hidden="1"/>
    </xf>
    <xf numFmtId="174" fontId="15" fillId="13" borderId="44" xfId="1" applyNumberFormat="1" applyFont="1" applyFill="1" applyBorder="1" applyProtection="1">
      <protection hidden="1"/>
    </xf>
    <xf numFmtId="174" fontId="15" fillId="13" borderId="0" xfId="1" applyNumberFormat="1" applyFont="1" applyFill="1" applyProtection="1">
      <protection hidden="1"/>
    </xf>
    <xf numFmtId="37" fontId="31" fillId="0" borderId="4" xfId="0" applyNumberFormat="1" applyFont="1" applyFill="1" applyBorder="1" applyProtection="1">
      <protection hidden="1"/>
    </xf>
    <xf numFmtId="9" fontId="19" fillId="0" borderId="1" xfId="2" applyNumberFormat="1" applyFont="1" applyFill="1" applyBorder="1" applyAlignment="1" applyProtection="1">
      <alignment horizontal="center"/>
      <protection hidden="1"/>
    </xf>
    <xf numFmtId="9" fontId="19" fillId="0" borderId="27" xfId="2" applyNumberFormat="1" applyFont="1" applyFill="1" applyBorder="1" applyAlignment="1" applyProtection="1">
      <alignment horizontal="center"/>
      <protection hidden="1"/>
    </xf>
    <xf numFmtId="0" fontId="0" fillId="0" borderId="0" xfId="0" applyBorder="1" applyProtection="1">
      <protection hidden="1"/>
    </xf>
    <xf numFmtId="174" fontId="15" fillId="13" borderId="44" xfId="1" applyNumberFormat="1" applyFont="1" applyFill="1" applyBorder="1" applyAlignment="1" applyProtection="1">
      <alignment horizontal="center"/>
      <protection hidden="1"/>
    </xf>
    <xf numFmtId="174" fontId="15" fillId="0" borderId="49" xfId="1" applyNumberFormat="1" applyFont="1" applyFill="1" applyBorder="1" applyProtection="1">
      <protection hidden="1"/>
    </xf>
    <xf numFmtId="174" fontId="15" fillId="0" borderId="21" xfId="1" applyNumberFormat="1" applyFont="1" applyFill="1" applyBorder="1" applyProtection="1">
      <protection hidden="1"/>
    </xf>
    <xf numFmtId="0" fontId="0" fillId="0" borderId="16" xfId="0" applyFont="1" applyBorder="1" applyProtection="1">
      <protection hidden="1"/>
    </xf>
    <xf numFmtId="0" fontId="0" fillId="0" borderId="23" xfId="0" applyFill="1" applyBorder="1" applyProtection="1">
      <protection hidden="1"/>
    </xf>
    <xf numFmtId="174" fontId="0" fillId="13" borderId="44" xfId="0" applyNumberFormat="1" applyFont="1" applyFill="1" applyBorder="1" applyProtection="1">
      <protection hidden="1"/>
    </xf>
    <xf numFmtId="174" fontId="15" fillId="13" borderId="50" xfId="1" applyNumberFormat="1" applyFont="1" applyFill="1" applyBorder="1" applyProtection="1">
      <protection hidden="1"/>
    </xf>
    <xf numFmtId="164" fontId="0" fillId="0" borderId="0" xfId="0" applyNumberFormat="1" applyFont="1" applyProtection="1">
      <protection hidden="1"/>
    </xf>
    <xf numFmtId="0" fontId="19" fillId="5" borderId="16" xfId="0" applyFont="1" applyFill="1" applyBorder="1" applyAlignment="1" applyProtection="1">
      <alignment horizontal="center" vertical="center" wrapText="1"/>
      <protection hidden="1"/>
    </xf>
    <xf numFmtId="0" fontId="0" fillId="0" borderId="0" xfId="0" applyAlignment="1" applyProtection="1">
      <protection hidden="1"/>
    </xf>
    <xf numFmtId="0" fontId="19" fillId="8" borderId="19" xfId="0" applyFont="1" applyFill="1" applyBorder="1" applyAlignment="1" applyProtection="1">
      <alignment horizontal="left"/>
      <protection hidden="1"/>
    </xf>
    <xf numFmtId="174" fontId="15" fillId="0" borderId="0" xfId="1" applyNumberFormat="1" applyFont="1" applyProtection="1">
      <protection hidden="1"/>
    </xf>
    <xf numFmtId="37" fontId="38" fillId="11" borderId="21" xfId="0" applyNumberFormat="1" applyFont="1" applyFill="1" applyBorder="1" applyProtection="1">
      <protection hidden="1"/>
    </xf>
    <xf numFmtId="3" fontId="0" fillId="5" borderId="0" xfId="0" applyNumberFormat="1" applyFill="1" applyBorder="1" applyProtection="1">
      <protection hidden="1"/>
    </xf>
    <xf numFmtId="37" fontId="0" fillId="5" borderId="29" xfId="0" applyNumberFormat="1" applyFill="1" applyBorder="1" applyProtection="1">
      <protection hidden="1"/>
    </xf>
    <xf numFmtId="37" fontId="0" fillId="5" borderId="50" xfId="0" applyNumberFormat="1" applyFill="1" applyBorder="1" applyProtection="1">
      <protection hidden="1"/>
    </xf>
    <xf numFmtId="37" fontId="0" fillId="0" borderId="51" xfId="0" applyNumberFormat="1" applyFill="1" applyBorder="1" applyProtection="1">
      <protection hidden="1"/>
    </xf>
    <xf numFmtId="0" fontId="19" fillId="8" borderId="45" xfId="0" applyFont="1" applyFill="1" applyBorder="1" applyAlignment="1" applyProtection="1">
      <alignment horizontal="left"/>
      <protection hidden="1"/>
    </xf>
    <xf numFmtId="0" fontId="19" fillId="9" borderId="45" xfId="0" applyFont="1" applyFill="1" applyBorder="1" applyAlignment="1" applyProtection="1">
      <alignment horizontal="left"/>
      <protection hidden="1"/>
    </xf>
    <xf numFmtId="0" fontId="0" fillId="9" borderId="11" xfId="0" applyFill="1" applyBorder="1" applyProtection="1">
      <protection hidden="1"/>
    </xf>
    <xf numFmtId="0" fontId="0" fillId="8" borderId="14" xfId="0" applyFill="1" applyBorder="1" applyProtection="1">
      <protection hidden="1"/>
    </xf>
    <xf numFmtId="174" fontId="17" fillId="15" borderId="30" xfId="1" applyNumberFormat="1" applyFont="1" applyFill="1" applyBorder="1" applyAlignment="1" applyProtection="1">
      <alignment horizontal="center"/>
      <protection hidden="1"/>
    </xf>
    <xf numFmtId="0" fontId="0" fillId="0" borderId="42" xfId="0" applyBorder="1" applyProtection="1">
      <protection hidden="1"/>
    </xf>
    <xf numFmtId="0" fontId="19" fillId="8" borderId="52" xfId="0" applyFont="1" applyFill="1" applyBorder="1" applyAlignment="1" applyProtection="1">
      <alignment horizontal="right"/>
      <protection hidden="1"/>
    </xf>
    <xf numFmtId="0" fontId="19" fillId="8" borderId="0" xfId="1" applyNumberFormat="1" applyFont="1" applyFill="1" applyBorder="1" applyAlignment="1" applyProtection="1">
      <alignment horizontal="center"/>
      <protection hidden="1"/>
    </xf>
    <xf numFmtId="0" fontId="17" fillId="15" borderId="17" xfId="0" applyFont="1" applyFill="1" applyBorder="1" applyAlignment="1" applyProtection="1">
      <alignment horizontal="centerContinuous"/>
      <protection hidden="1"/>
    </xf>
    <xf numFmtId="0" fontId="17" fillId="15" borderId="49" xfId="0" applyFont="1" applyFill="1" applyBorder="1" applyAlignment="1" applyProtection="1">
      <alignment horizontal="centerContinuous"/>
      <protection hidden="1"/>
    </xf>
    <xf numFmtId="0" fontId="46" fillId="15" borderId="49" xfId="0" applyFont="1" applyFill="1" applyBorder="1" applyAlignment="1" applyProtection="1">
      <alignment horizontal="centerContinuous"/>
      <protection hidden="1"/>
    </xf>
    <xf numFmtId="0" fontId="19" fillId="8" borderId="53" xfId="0" applyFont="1" applyFill="1" applyBorder="1" applyAlignment="1" applyProtection="1">
      <alignment horizontal="right"/>
      <protection hidden="1"/>
    </xf>
    <xf numFmtId="0" fontId="19" fillId="8" borderId="43" xfId="1" applyNumberFormat="1" applyFont="1" applyFill="1" applyBorder="1" applyAlignment="1" applyProtection="1">
      <alignment horizontal="center"/>
      <protection hidden="1"/>
    </xf>
    <xf numFmtId="0" fontId="0" fillId="0" borderId="54" xfId="0" applyBorder="1" applyProtection="1">
      <protection hidden="1"/>
    </xf>
    <xf numFmtId="0" fontId="19" fillId="8" borderId="33" xfId="0" applyFont="1" applyFill="1" applyBorder="1" applyAlignment="1" applyProtection="1">
      <alignment horizontal="right"/>
      <protection hidden="1"/>
    </xf>
    <xf numFmtId="0" fontId="30" fillId="8" borderId="9" xfId="0" applyFont="1" applyFill="1" applyBorder="1" applyAlignment="1" applyProtection="1">
      <alignment horizontal="center"/>
      <protection hidden="1"/>
    </xf>
    <xf numFmtId="0" fontId="19" fillId="8" borderId="24" xfId="0" applyFont="1" applyFill="1" applyBorder="1" applyAlignment="1" applyProtection="1">
      <alignment horizontal="right"/>
      <protection hidden="1"/>
    </xf>
    <xf numFmtId="37" fontId="0" fillId="5" borderId="0" xfId="0" applyNumberFormat="1" applyFill="1" applyBorder="1" applyProtection="1">
      <protection hidden="1"/>
    </xf>
    <xf numFmtId="37" fontId="0" fillId="0" borderId="38" xfId="0" applyNumberFormat="1" applyFill="1" applyBorder="1" applyProtection="1">
      <protection hidden="1"/>
    </xf>
    <xf numFmtId="37" fontId="0" fillId="5" borderId="42" xfId="0" applyNumberFormat="1" applyFill="1" applyBorder="1" applyProtection="1">
      <protection hidden="1"/>
    </xf>
    <xf numFmtId="39" fontId="0" fillId="5" borderId="0" xfId="0" applyNumberFormat="1" applyFill="1" applyBorder="1" applyProtection="1">
      <protection hidden="1"/>
    </xf>
    <xf numFmtId="166" fontId="43" fillId="9" borderId="0" xfId="1" applyFont="1" applyFill="1" applyBorder="1" applyProtection="1">
      <protection hidden="1"/>
    </xf>
    <xf numFmtId="37" fontId="19" fillId="0" borderId="21" xfId="0" applyNumberFormat="1" applyFont="1" applyFill="1" applyBorder="1" applyProtection="1">
      <protection hidden="1"/>
    </xf>
    <xf numFmtId="0" fontId="0" fillId="9" borderId="1" xfId="0" applyFill="1" applyBorder="1" applyProtection="1">
      <protection hidden="1"/>
    </xf>
    <xf numFmtId="39" fontId="0" fillId="9" borderId="0" xfId="0" applyNumberFormat="1" applyFill="1" applyBorder="1" applyProtection="1">
      <protection hidden="1"/>
    </xf>
    <xf numFmtId="166" fontId="19" fillId="9" borderId="21" xfId="1" applyFont="1" applyFill="1" applyBorder="1" applyProtection="1">
      <protection hidden="1"/>
    </xf>
    <xf numFmtId="37" fontId="19" fillId="9" borderId="0" xfId="0" applyNumberFormat="1" applyFont="1" applyFill="1" applyBorder="1" applyProtection="1">
      <protection hidden="1"/>
    </xf>
    <xf numFmtId="0" fontId="0" fillId="9" borderId="0" xfId="0" applyFill="1" applyBorder="1" applyProtection="1">
      <protection hidden="1"/>
    </xf>
    <xf numFmtId="0" fontId="19" fillId="5" borderId="29" xfId="0" applyFont="1" applyFill="1" applyBorder="1" applyAlignment="1" applyProtection="1">
      <alignment horizontal="center"/>
      <protection hidden="1"/>
    </xf>
    <xf numFmtId="171" fontId="0" fillId="0" borderId="0" xfId="0" applyNumberFormat="1" applyProtection="1">
      <protection hidden="1"/>
    </xf>
    <xf numFmtId="0" fontId="17" fillId="15" borderId="45" xfId="0" applyFont="1" applyFill="1" applyBorder="1" applyAlignment="1" applyProtection="1">
      <alignment horizontal="centerContinuous"/>
      <protection hidden="1"/>
    </xf>
    <xf numFmtId="0" fontId="16" fillId="15" borderId="14" xfId="0" applyFont="1" applyFill="1" applyBorder="1" applyAlignment="1" applyProtection="1">
      <alignment horizontal="centerContinuous"/>
      <protection hidden="1"/>
    </xf>
    <xf numFmtId="0" fontId="46" fillId="15" borderId="0" xfId="0" applyFont="1" applyFill="1" applyBorder="1" applyAlignment="1" applyProtection="1">
      <alignment horizontal="centerContinuous"/>
      <protection hidden="1"/>
    </xf>
    <xf numFmtId="10" fontId="38" fillId="8" borderId="0" xfId="2" applyNumberFormat="1" applyFont="1" applyFill="1" applyBorder="1" applyProtection="1">
      <protection hidden="1"/>
    </xf>
    <xf numFmtId="165" fontId="38" fillId="9" borderId="0" xfId="0" applyNumberFormat="1" applyFont="1" applyFill="1" applyBorder="1" applyProtection="1">
      <protection hidden="1"/>
    </xf>
    <xf numFmtId="10" fontId="41" fillId="8" borderId="0" xfId="2" applyNumberFormat="1" applyFont="1" applyFill="1" applyBorder="1" applyProtection="1">
      <protection hidden="1"/>
    </xf>
    <xf numFmtId="10" fontId="41" fillId="7" borderId="0" xfId="2" applyNumberFormat="1" applyFont="1" applyFill="1" applyBorder="1" applyProtection="1">
      <protection hidden="1"/>
    </xf>
    <xf numFmtId="37" fontId="19" fillId="0" borderId="38" xfId="0" applyNumberFormat="1" applyFont="1" applyFill="1" applyBorder="1" applyProtection="1">
      <protection hidden="1"/>
    </xf>
    <xf numFmtId="37" fontId="19" fillId="0" borderId="0" xfId="0" applyNumberFormat="1" applyFont="1" applyFill="1" applyBorder="1" applyProtection="1">
      <protection hidden="1"/>
    </xf>
    <xf numFmtId="37" fontId="0" fillId="0" borderId="42" xfId="0" applyNumberFormat="1" applyFill="1" applyBorder="1" applyProtection="1">
      <protection hidden="1"/>
    </xf>
    <xf numFmtId="37" fontId="19" fillId="5" borderId="0" xfId="0" applyNumberFormat="1" applyFont="1" applyFill="1" applyBorder="1" applyProtection="1">
      <protection hidden="1"/>
    </xf>
    <xf numFmtId="39" fontId="31" fillId="5" borderId="0" xfId="0" applyNumberFormat="1" applyFont="1" applyFill="1" applyBorder="1" applyProtection="1">
      <protection hidden="1"/>
    </xf>
    <xf numFmtId="166" fontId="19" fillId="9" borderId="0" xfId="1" applyFont="1" applyFill="1" applyBorder="1" applyProtection="1">
      <protection hidden="1"/>
    </xf>
    <xf numFmtId="0" fontId="0" fillId="0" borderId="21" xfId="0" applyBorder="1" applyProtection="1">
      <protection hidden="1"/>
    </xf>
    <xf numFmtId="0" fontId="16" fillId="15" borderId="0" xfId="0" applyFont="1" applyFill="1" applyBorder="1" applyProtection="1">
      <protection hidden="1"/>
    </xf>
    <xf numFmtId="0" fontId="16" fillId="15" borderId="0" xfId="0" applyFont="1" applyFill="1" applyBorder="1" applyAlignment="1" applyProtection="1">
      <alignment horizontal="center"/>
      <protection hidden="1"/>
    </xf>
    <xf numFmtId="0" fontId="0" fillId="0" borderId="0" xfId="0" applyBorder="1" applyAlignment="1" applyProtection="1">
      <protection hidden="1"/>
    </xf>
    <xf numFmtId="0" fontId="47" fillId="5" borderId="23" xfId="0" applyFont="1" applyFill="1" applyBorder="1" applyProtection="1">
      <protection hidden="1"/>
    </xf>
    <xf numFmtId="0" fontId="0" fillId="5" borderId="23" xfId="0" applyFont="1" applyFill="1" applyBorder="1" applyProtection="1">
      <protection hidden="1"/>
    </xf>
    <xf numFmtId="0" fontId="0" fillId="0" borderId="53" xfId="0" applyFill="1" applyBorder="1" applyProtection="1">
      <protection hidden="1"/>
    </xf>
    <xf numFmtId="0" fontId="19" fillId="9" borderId="23" xfId="0" applyFont="1" applyFill="1" applyBorder="1" applyProtection="1">
      <protection hidden="1"/>
    </xf>
    <xf numFmtId="0" fontId="0" fillId="0" borderId="55" xfId="0" applyBorder="1" applyProtection="1">
      <protection hidden="1"/>
    </xf>
    <xf numFmtId="168" fontId="19" fillId="5" borderId="1" xfId="2" applyNumberFormat="1" applyFont="1" applyFill="1" applyBorder="1" applyAlignment="1" applyProtection="1">
      <alignment horizontal="center"/>
      <protection hidden="1"/>
    </xf>
    <xf numFmtId="0" fontId="19" fillId="5" borderId="56" xfId="0" applyFont="1" applyFill="1" applyBorder="1" applyAlignment="1" applyProtection="1">
      <alignment horizontal="centerContinuous" vertical="center"/>
      <protection hidden="1"/>
    </xf>
    <xf numFmtId="0" fontId="0" fillId="0" borderId="51" xfId="0" applyBorder="1" applyAlignment="1" applyProtection="1">
      <alignment horizontal="centerContinuous"/>
      <protection hidden="1"/>
    </xf>
    <xf numFmtId="0" fontId="19" fillId="9" borderId="53" xfId="0" applyFont="1" applyFill="1" applyBorder="1" applyProtection="1">
      <protection hidden="1"/>
    </xf>
    <xf numFmtId="0" fontId="0" fillId="9" borderId="42" xfId="0" applyFill="1" applyBorder="1" applyProtection="1">
      <protection hidden="1"/>
    </xf>
    <xf numFmtId="37" fontId="19" fillId="9" borderId="42" xfId="0" applyNumberFormat="1" applyFont="1" applyFill="1" applyBorder="1" applyProtection="1">
      <protection hidden="1"/>
    </xf>
    <xf numFmtId="166" fontId="19" fillId="9" borderId="29" xfId="1" applyFont="1" applyFill="1" applyBorder="1" applyAlignment="1" applyProtection="1">
      <alignment horizontal="center"/>
      <protection hidden="1"/>
    </xf>
    <xf numFmtId="174" fontId="19" fillId="0" borderId="2" xfId="1" applyNumberFormat="1" applyFont="1" applyBorder="1" applyAlignment="1" applyProtection="1">
      <alignment horizontal="center"/>
      <protection hidden="1"/>
    </xf>
    <xf numFmtId="10" fontId="19" fillId="9" borderId="50" xfId="2" applyNumberFormat="1" applyFont="1" applyFill="1" applyBorder="1" applyProtection="1">
      <protection hidden="1"/>
    </xf>
    <xf numFmtId="174" fontId="15" fillId="0" borderId="0" xfId="1" applyNumberFormat="1" applyFont="1" applyFill="1" applyAlignment="1" applyProtection="1">
      <protection hidden="1"/>
    </xf>
    <xf numFmtId="0" fontId="22" fillId="0" borderId="0" xfId="0" applyFont="1" applyFill="1" applyAlignment="1" applyProtection="1">
      <protection hidden="1"/>
    </xf>
    <xf numFmtId="0" fontId="0" fillId="0" borderId="0" xfId="0" applyFill="1" applyAlignment="1" applyProtection="1">
      <protection hidden="1"/>
    </xf>
    <xf numFmtId="0" fontId="0" fillId="0" borderId="21" xfId="0" applyBorder="1" applyAlignment="1" applyProtection="1">
      <protection hidden="1"/>
    </xf>
    <xf numFmtId="0" fontId="22" fillId="0" borderId="0" xfId="0" applyFont="1" applyAlignment="1" applyProtection="1">
      <protection hidden="1"/>
    </xf>
    <xf numFmtId="175" fontId="49" fillId="8" borderId="26" xfId="0" applyNumberFormat="1" applyFont="1" applyFill="1" applyBorder="1" applyAlignment="1" applyProtection="1">
      <alignment horizontal="center"/>
      <protection locked="0"/>
    </xf>
    <xf numFmtId="175" fontId="49" fillId="8" borderId="58" xfId="0" applyNumberFormat="1" applyFont="1" applyFill="1" applyBorder="1" applyAlignment="1" applyProtection="1">
      <alignment horizontal="center"/>
      <protection locked="0"/>
    </xf>
    <xf numFmtId="165" fontId="48" fillId="8" borderId="30" xfId="0" applyNumberFormat="1" applyFont="1" applyFill="1" applyBorder="1" applyProtection="1">
      <protection locked="0"/>
    </xf>
    <xf numFmtId="165" fontId="48" fillId="8" borderId="31" xfId="0" applyNumberFormat="1" applyFont="1" applyFill="1" applyBorder="1" applyProtection="1">
      <protection locked="0"/>
    </xf>
    <xf numFmtId="165" fontId="48" fillId="8" borderId="26" xfId="0" applyNumberFormat="1" applyFont="1" applyFill="1" applyBorder="1" applyProtection="1">
      <protection locked="0"/>
    </xf>
    <xf numFmtId="37" fontId="48" fillId="7" borderId="31" xfId="0" applyNumberFormat="1" applyFont="1" applyFill="1" applyBorder="1" applyProtection="1">
      <protection locked="0"/>
    </xf>
    <xf numFmtId="37" fontId="48" fillId="7" borderId="47" xfId="0" applyNumberFormat="1" applyFont="1" applyFill="1" applyBorder="1" applyProtection="1">
      <protection locked="0"/>
    </xf>
    <xf numFmtId="0" fontId="48" fillId="7" borderId="29" xfId="0" applyFont="1" applyFill="1" applyBorder="1" applyAlignment="1" applyProtection="1">
      <alignment horizontal="center"/>
      <protection locked="0"/>
    </xf>
    <xf numFmtId="0" fontId="50" fillId="0" borderId="0" xfId="0" applyFont="1" applyFill="1" applyBorder="1" applyAlignment="1" applyProtection="1">
      <alignment horizontal="center"/>
      <protection hidden="1"/>
    </xf>
    <xf numFmtId="0" fontId="50" fillId="0" borderId="21" xfId="0" applyFont="1" applyFill="1" applyBorder="1" applyAlignment="1" applyProtection="1">
      <alignment horizontal="center"/>
      <protection hidden="1"/>
    </xf>
    <xf numFmtId="175" fontId="13" fillId="8" borderId="0" xfId="0" applyNumberFormat="1" applyFont="1" applyFill="1" applyBorder="1" applyAlignment="1" applyProtection="1">
      <alignment horizontal="center"/>
      <protection hidden="1"/>
    </xf>
    <xf numFmtId="1" fontId="41" fillId="8" borderId="57" xfId="1" applyNumberFormat="1" applyFont="1" applyFill="1" applyBorder="1" applyAlignment="1" applyProtection="1">
      <alignment horizontal="center"/>
      <protection hidden="1"/>
    </xf>
    <xf numFmtId="174" fontId="41" fillId="5" borderId="0" xfId="1" applyNumberFormat="1" applyFont="1" applyFill="1" applyBorder="1" applyAlignment="1" applyProtection="1">
      <protection hidden="1"/>
    </xf>
    <xf numFmtId="174" fontId="17" fillId="15" borderId="59" xfId="1" applyNumberFormat="1" applyFont="1" applyFill="1" applyBorder="1" applyAlignment="1" applyProtection="1">
      <alignment horizontal="center"/>
      <protection hidden="1"/>
    </xf>
    <xf numFmtId="174" fontId="17" fillId="15" borderId="0" xfId="1" applyNumberFormat="1" applyFont="1" applyFill="1" applyBorder="1" applyAlignment="1" applyProtection="1">
      <alignment horizontal="center"/>
      <protection hidden="1"/>
    </xf>
    <xf numFmtId="165" fontId="41" fillId="9" borderId="31" xfId="0" applyNumberFormat="1" applyFont="1" applyFill="1" applyBorder="1" applyProtection="1">
      <protection hidden="1"/>
    </xf>
    <xf numFmtId="165" fontId="41" fillId="8" borderId="31" xfId="0" applyNumberFormat="1" applyFont="1" applyFill="1" applyBorder="1" applyProtection="1">
      <protection hidden="1"/>
    </xf>
    <xf numFmtId="165" fontId="38" fillId="8" borderId="31" xfId="0" applyNumberFormat="1" applyFont="1" applyFill="1" applyBorder="1" applyProtection="1">
      <protection hidden="1"/>
    </xf>
    <xf numFmtId="165" fontId="38" fillId="8" borderId="47" xfId="0" applyNumberFormat="1" applyFont="1" applyFill="1" applyBorder="1" applyProtection="1">
      <protection hidden="1"/>
    </xf>
    <xf numFmtId="37" fontId="36" fillId="7" borderId="0" xfId="0" applyNumberFormat="1" applyFont="1" applyFill="1" applyBorder="1" applyProtection="1">
      <protection hidden="1"/>
    </xf>
    <xf numFmtId="165" fontId="51" fillId="8" borderId="12" xfId="0" applyNumberFormat="1" applyFont="1" applyFill="1" applyBorder="1" applyAlignment="1" applyProtection="1">
      <alignment horizontal="center"/>
      <protection locked="0"/>
    </xf>
    <xf numFmtId="10" fontId="41" fillId="8" borderId="59" xfId="2" applyNumberFormat="1" applyFont="1" applyFill="1" applyBorder="1" applyProtection="1">
      <protection hidden="1"/>
    </xf>
    <xf numFmtId="165" fontId="41" fillId="9" borderId="59" xfId="0" applyNumberFormat="1" applyFont="1" applyFill="1" applyBorder="1" applyProtection="1">
      <protection hidden="1"/>
    </xf>
    <xf numFmtId="0" fontId="17" fillId="15" borderId="60" xfId="0" applyFont="1" applyFill="1" applyBorder="1" applyAlignment="1" applyProtection="1">
      <alignment horizontal="centerContinuous" vertical="center"/>
      <protection hidden="1"/>
    </xf>
    <xf numFmtId="0" fontId="19" fillId="5" borderId="60" xfId="0" applyFont="1" applyFill="1" applyBorder="1" applyProtection="1">
      <protection hidden="1"/>
    </xf>
    <xf numFmtId="0" fontId="19" fillId="0" borderId="0" xfId="0" applyFont="1" applyBorder="1" applyProtection="1">
      <protection hidden="1"/>
    </xf>
    <xf numFmtId="37" fontId="19" fillId="0" borderId="61" xfId="0" applyNumberFormat="1" applyFont="1" applyFill="1" applyBorder="1" applyProtection="1">
      <protection hidden="1"/>
    </xf>
    <xf numFmtId="0" fontId="19" fillId="5" borderId="61" xfId="0" applyFont="1" applyFill="1" applyBorder="1" applyProtection="1">
      <protection hidden="1"/>
    </xf>
    <xf numFmtId="37" fontId="19" fillId="0" borderId="49" xfId="0" applyNumberFormat="1" applyFont="1" applyFill="1" applyBorder="1" applyProtection="1">
      <protection hidden="1"/>
    </xf>
    <xf numFmtId="0" fontId="17" fillId="0" borderId="23" xfId="0" applyFont="1" applyFill="1" applyBorder="1" applyProtection="1">
      <protection hidden="1"/>
    </xf>
    <xf numFmtId="0" fontId="16" fillId="0" borderId="0" xfId="0" applyFont="1" applyFill="1" applyBorder="1" applyProtection="1">
      <protection hidden="1"/>
    </xf>
    <xf numFmtId="37" fontId="16" fillId="0" borderId="1" xfId="0" applyNumberFormat="1" applyFont="1" applyFill="1" applyBorder="1" applyProtection="1">
      <protection hidden="1"/>
    </xf>
    <xf numFmtId="168" fontId="17" fillId="0" borderId="1" xfId="2" applyNumberFormat="1" applyFont="1" applyFill="1" applyBorder="1" applyAlignment="1" applyProtection="1">
      <alignment horizontal="center"/>
      <protection hidden="1"/>
    </xf>
    <xf numFmtId="37" fontId="17" fillId="0" borderId="21" xfId="0" applyNumberFormat="1" applyFont="1" applyFill="1" applyBorder="1" applyProtection="1">
      <protection hidden="1"/>
    </xf>
    <xf numFmtId="0" fontId="0" fillId="0" borderId="0" xfId="0" applyFill="1" applyBorder="1" applyProtection="1">
      <protection hidden="1"/>
    </xf>
    <xf numFmtId="37" fontId="38" fillId="0" borderId="21" xfId="0" applyNumberFormat="1" applyFont="1" applyFill="1" applyBorder="1" applyProtection="1">
      <protection hidden="1"/>
    </xf>
    <xf numFmtId="37" fontId="22" fillId="0" borderId="0" xfId="0" applyNumberFormat="1" applyFont="1" applyFill="1" applyProtection="1">
      <protection hidden="1"/>
    </xf>
    <xf numFmtId="0" fontId="0" fillId="0" borderId="0" xfId="0" applyFill="1" applyProtection="1">
      <protection hidden="1"/>
    </xf>
    <xf numFmtId="0" fontId="17" fillId="15" borderId="52" xfId="0" applyFont="1" applyFill="1" applyBorder="1" applyAlignment="1" applyProtection="1">
      <alignment horizontal="centerContinuous" vertical="center"/>
      <protection hidden="1"/>
    </xf>
    <xf numFmtId="0" fontId="17" fillId="15" borderId="54" xfId="0" applyFont="1" applyFill="1" applyBorder="1" applyAlignment="1" applyProtection="1">
      <alignment horizontal="centerContinuous"/>
      <protection hidden="1"/>
    </xf>
    <xf numFmtId="0" fontId="16" fillId="15" borderId="54" xfId="0" applyFont="1" applyFill="1" applyBorder="1" applyProtection="1">
      <protection hidden="1"/>
    </xf>
    <xf numFmtId="0" fontId="17" fillId="15" borderId="58" xfId="0" applyFont="1" applyFill="1" applyBorder="1" applyAlignment="1" applyProtection="1">
      <alignment horizontal="centerContinuous"/>
      <protection hidden="1"/>
    </xf>
    <xf numFmtId="0" fontId="46" fillId="15" borderId="58" xfId="0" applyFont="1" applyFill="1" applyBorder="1" applyAlignment="1" applyProtection="1">
      <alignment horizontal="centerContinuous"/>
      <protection hidden="1"/>
    </xf>
    <xf numFmtId="0" fontId="52" fillId="15" borderId="62" xfId="0" applyFont="1" applyFill="1" applyBorder="1" applyAlignment="1" applyProtection="1">
      <alignment horizontal="left" vertical="center"/>
      <protection hidden="1"/>
    </xf>
    <xf numFmtId="0" fontId="52" fillId="15" borderId="11" xfId="0" applyFont="1" applyFill="1" applyBorder="1" applyAlignment="1" applyProtection="1">
      <alignment horizontal="centerContinuous"/>
      <protection hidden="1"/>
    </xf>
    <xf numFmtId="0" fontId="53" fillId="15" borderId="11" xfId="0" applyFont="1" applyFill="1" applyBorder="1" applyProtection="1">
      <protection hidden="1"/>
    </xf>
    <xf numFmtId="0" fontId="52" fillId="15" borderId="59" xfId="0" applyFont="1" applyFill="1" applyBorder="1" applyAlignment="1" applyProtection="1">
      <alignment horizontal="centerContinuous"/>
      <protection hidden="1"/>
    </xf>
    <xf numFmtId="0" fontId="52" fillId="15" borderId="0" xfId="0" applyFont="1" applyFill="1" applyBorder="1" applyAlignment="1" applyProtection="1">
      <alignment horizontal="centerContinuous"/>
      <protection hidden="1"/>
    </xf>
    <xf numFmtId="0" fontId="29" fillId="0" borderId="0" xfId="0" applyFont="1" applyBorder="1" applyProtection="1">
      <protection hidden="1"/>
    </xf>
    <xf numFmtId="0" fontId="29" fillId="0" borderId="21" xfId="0" applyFont="1" applyBorder="1" applyProtection="1">
      <protection hidden="1"/>
    </xf>
    <xf numFmtId="174" fontId="29" fillId="0" borderId="0" xfId="1" applyNumberFormat="1" applyFont="1" applyProtection="1">
      <protection hidden="1"/>
    </xf>
    <xf numFmtId="0" fontId="54" fillId="0" borderId="0" xfId="0" applyFont="1" applyProtection="1">
      <protection hidden="1"/>
    </xf>
    <xf numFmtId="0" fontId="29" fillId="0" borderId="0" xfId="0" applyFont="1" applyProtection="1">
      <protection hidden="1"/>
    </xf>
    <xf numFmtId="0" fontId="17" fillId="15" borderId="45" xfId="0" applyFont="1" applyFill="1" applyBorder="1" applyAlignment="1" applyProtection="1">
      <alignment horizontal="centerContinuous" vertical="center"/>
      <protection hidden="1"/>
    </xf>
    <xf numFmtId="0" fontId="17" fillId="15" borderId="13" xfId="0" applyFont="1" applyFill="1" applyBorder="1" applyAlignment="1" applyProtection="1">
      <alignment horizontal="centerContinuous"/>
      <protection hidden="1"/>
    </xf>
    <xf numFmtId="0" fontId="16" fillId="15" borderId="13" xfId="0" applyFont="1" applyFill="1" applyBorder="1" applyProtection="1">
      <protection hidden="1"/>
    </xf>
    <xf numFmtId="0" fontId="17" fillId="15" borderId="46" xfId="0" applyFont="1" applyFill="1" applyBorder="1" applyAlignment="1" applyProtection="1">
      <alignment horizontal="centerContinuous"/>
      <protection hidden="1"/>
    </xf>
    <xf numFmtId="0" fontId="46" fillId="15" borderId="46" xfId="0" applyFont="1" applyFill="1" applyBorder="1" applyAlignment="1" applyProtection="1">
      <alignment horizontal="centerContinuous"/>
      <protection hidden="1"/>
    </xf>
    <xf numFmtId="0" fontId="19" fillId="0" borderId="0" xfId="0" applyFont="1" applyFill="1" applyBorder="1" applyAlignment="1" applyProtection="1">
      <alignment horizontal="right"/>
      <protection hidden="1"/>
    </xf>
    <xf numFmtId="0" fontId="19" fillId="0" borderId="0" xfId="1" applyNumberFormat="1" applyFont="1" applyFill="1" applyBorder="1" applyAlignment="1" applyProtection="1">
      <alignment horizontal="center"/>
      <protection hidden="1"/>
    </xf>
    <xf numFmtId="174" fontId="48" fillId="8" borderId="63" xfId="1" applyNumberFormat="1" applyFont="1" applyFill="1" applyBorder="1" applyProtection="1">
      <protection locked="0"/>
    </xf>
    <xf numFmtId="0" fontId="19" fillId="8" borderId="64" xfId="0" applyFont="1" applyFill="1" applyBorder="1" applyAlignment="1" applyProtection="1">
      <alignment horizontal="right"/>
      <protection hidden="1"/>
    </xf>
    <xf numFmtId="165" fontId="48" fillId="8" borderId="65" xfId="0" applyNumberFormat="1" applyFont="1" applyFill="1" applyBorder="1" applyProtection="1">
      <protection locked="0"/>
    </xf>
    <xf numFmtId="0" fontId="19" fillId="0" borderId="17" xfId="0" applyFont="1" applyFill="1" applyBorder="1" applyAlignment="1" applyProtection="1">
      <alignment horizontal="right"/>
      <protection hidden="1"/>
    </xf>
    <xf numFmtId="0" fontId="0" fillId="0" borderId="17" xfId="0" applyFill="1" applyBorder="1" applyProtection="1">
      <protection hidden="1"/>
    </xf>
    <xf numFmtId="165" fontId="48" fillId="0" borderId="17" xfId="0" applyNumberFormat="1" applyFont="1" applyFill="1" applyBorder="1" applyProtection="1">
      <protection locked="0"/>
    </xf>
    <xf numFmtId="1" fontId="41" fillId="0" borderId="0" xfId="1" applyNumberFormat="1" applyFont="1" applyFill="1" applyBorder="1" applyAlignment="1" applyProtection="1">
      <alignment horizontal="center"/>
      <protection hidden="1"/>
    </xf>
    <xf numFmtId="0" fontId="19" fillId="5" borderId="23" xfId="0" applyFont="1" applyFill="1" applyBorder="1" applyAlignment="1" applyProtection="1">
      <alignment horizontal="left"/>
      <protection hidden="1"/>
    </xf>
    <xf numFmtId="174" fontId="19" fillId="5" borderId="0" xfId="1" applyNumberFormat="1" applyFont="1" applyFill="1" applyBorder="1" applyAlignment="1" applyProtection="1">
      <protection hidden="1"/>
    </xf>
    <xf numFmtId="0" fontId="17" fillId="16" borderId="60" xfId="0" applyFont="1" applyFill="1" applyBorder="1" applyProtection="1">
      <protection hidden="1"/>
    </xf>
    <xf numFmtId="0" fontId="16" fillId="16" borderId="66" xfId="0" applyFont="1" applyFill="1" applyBorder="1" applyProtection="1">
      <protection hidden="1"/>
    </xf>
    <xf numFmtId="37" fontId="16" fillId="16" borderId="61" xfId="0" applyNumberFormat="1" applyFont="1" applyFill="1" applyBorder="1" applyProtection="1">
      <protection hidden="1"/>
    </xf>
    <xf numFmtId="168" fontId="17" fillId="16" borderId="61" xfId="2" applyNumberFormat="1" applyFont="1" applyFill="1" applyBorder="1" applyProtection="1">
      <protection hidden="1"/>
    </xf>
    <xf numFmtId="37" fontId="17" fillId="16" borderId="49" xfId="0" applyNumberFormat="1" applyFont="1" applyFill="1" applyBorder="1" applyProtection="1">
      <protection hidden="1"/>
    </xf>
    <xf numFmtId="0" fontId="17" fillId="16" borderId="81" xfId="0" applyFont="1" applyFill="1" applyBorder="1" applyProtection="1">
      <protection hidden="1"/>
    </xf>
    <xf numFmtId="0" fontId="16" fillId="16" borderId="82" xfId="0" applyFont="1" applyFill="1" applyBorder="1" applyProtection="1">
      <protection hidden="1"/>
    </xf>
    <xf numFmtId="37" fontId="16" fillId="16" borderId="83" xfId="0" applyNumberFormat="1" applyFont="1" applyFill="1" applyBorder="1" applyProtection="1">
      <protection hidden="1"/>
    </xf>
    <xf numFmtId="168" fontId="17" fillId="16" borderId="83" xfId="2" applyNumberFormat="1" applyFont="1" applyFill="1" applyBorder="1" applyAlignment="1" applyProtection="1">
      <alignment horizontal="center"/>
      <protection hidden="1"/>
    </xf>
    <xf numFmtId="37" fontId="17" fillId="16" borderId="84" xfId="0" applyNumberFormat="1" applyFont="1" applyFill="1" applyBorder="1" applyProtection="1">
      <protection hidden="1"/>
    </xf>
    <xf numFmtId="174" fontId="49" fillId="8" borderId="46" xfId="1" applyNumberFormat="1" applyFont="1" applyFill="1" applyBorder="1" applyAlignment="1" applyProtection="1">
      <alignment horizontal="center"/>
      <protection locked="0"/>
    </xf>
    <xf numFmtId="174" fontId="49" fillId="8" borderId="45" xfId="1" applyNumberFormat="1" applyFont="1" applyFill="1" applyBorder="1" applyAlignment="1" applyProtection="1">
      <alignment horizontal="centerContinuous"/>
      <protection locked="0"/>
    </xf>
    <xf numFmtId="0" fontId="19" fillId="8" borderId="13" xfId="0" applyFont="1" applyFill="1" applyBorder="1" applyAlignment="1" applyProtection="1">
      <alignment horizontal="centerContinuous"/>
      <protection hidden="1"/>
    </xf>
    <xf numFmtId="0" fontId="0" fillId="0" borderId="13" xfId="0" applyBorder="1" applyAlignment="1" applyProtection="1">
      <alignment horizontal="centerContinuous"/>
      <protection hidden="1"/>
    </xf>
    <xf numFmtId="175" fontId="49" fillId="8" borderId="46" xfId="0" applyNumberFormat="1" applyFont="1" applyFill="1" applyBorder="1" applyAlignment="1" applyProtection="1">
      <alignment horizontal="centerContinuous"/>
      <protection locked="0"/>
    </xf>
    <xf numFmtId="37" fontId="31" fillId="0" borderId="50" xfId="0" applyNumberFormat="1" applyFont="1" applyFill="1" applyBorder="1" applyProtection="1">
      <protection hidden="1"/>
    </xf>
    <xf numFmtId="0" fontId="0" fillId="0" borderId="0" xfId="0" applyAlignment="1" applyProtection="1">
      <alignment horizontal="centerContinuous" vertical="center"/>
      <protection hidden="1"/>
    </xf>
    <xf numFmtId="0" fontId="0" fillId="0" borderId="0" xfId="0" applyAlignment="1">
      <alignment horizontal="centerContinuous" vertical="center"/>
    </xf>
    <xf numFmtId="0" fontId="50" fillId="0" borderId="0" xfId="0" applyFont="1" applyFill="1" applyBorder="1" applyAlignment="1" applyProtection="1">
      <alignment horizontal="centerContinuous" vertical="center"/>
      <protection hidden="1"/>
    </xf>
    <xf numFmtId="10" fontId="36" fillId="0" borderId="0" xfId="2" applyNumberFormat="1" applyFont="1" applyBorder="1" applyAlignment="1" applyProtection="1">
      <alignment horizontal="centerContinuous" vertical="center"/>
      <protection hidden="1"/>
    </xf>
    <xf numFmtId="0" fontId="0" fillId="0" borderId="0" xfId="0" applyBorder="1" applyAlignment="1" applyProtection="1">
      <alignment horizontal="centerContinuous" vertical="center"/>
      <protection hidden="1"/>
    </xf>
    <xf numFmtId="165" fontId="41" fillId="8" borderId="65" xfId="0" applyNumberFormat="1" applyFont="1" applyFill="1" applyBorder="1" applyProtection="1">
      <protection hidden="1"/>
    </xf>
    <xf numFmtId="0" fontId="55" fillId="8" borderId="15" xfId="0" applyFont="1" applyFill="1" applyBorder="1" applyAlignment="1" applyProtection="1">
      <alignment horizontal="center"/>
      <protection hidden="1"/>
    </xf>
    <xf numFmtId="165" fontId="55" fillId="8" borderId="12" xfId="0" applyNumberFormat="1" applyFont="1" applyFill="1" applyBorder="1" applyAlignment="1" applyProtection="1">
      <alignment horizontal="center"/>
      <protection locked="0"/>
    </xf>
    <xf numFmtId="0" fontId="55" fillId="7" borderId="15" xfId="0" applyFont="1" applyFill="1" applyBorder="1" applyAlignment="1" applyProtection="1">
      <alignment horizontal="center"/>
      <protection hidden="1"/>
    </xf>
    <xf numFmtId="174" fontId="19" fillId="9" borderId="50" xfId="1" applyNumberFormat="1" applyFont="1" applyFill="1" applyBorder="1" applyProtection="1">
      <protection hidden="1"/>
    </xf>
    <xf numFmtId="0" fontId="19" fillId="8" borderId="60" xfId="0" applyFont="1" applyFill="1" applyBorder="1" applyAlignment="1" applyProtection="1">
      <alignment horizontal="right"/>
      <protection hidden="1"/>
    </xf>
    <xf numFmtId="0" fontId="19" fillId="8" borderId="45" xfId="0" applyFont="1" applyFill="1" applyBorder="1" applyAlignment="1" applyProtection="1">
      <alignment horizontal="right"/>
      <protection hidden="1"/>
    </xf>
    <xf numFmtId="0" fontId="0" fillId="0" borderId="7" xfId="0" applyBorder="1" applyProtection="1">
      <protection hidden="1"/>
    </xf>
    <xf numFmtId="174" fontId="41" fillId="8" borderId="67" xfId="1" applyNumberFormat="1" applyFont="1" applyFill="1" applyBorder="1" applyProtection="1">
      <protection hidden="1"/>
    </xf>
    <xf numFmtId="174" fontId="56" fillId="8" borderId="48" xfId="1" applyNumberFormat="1" applyFont="1" applyFill="1" applyBorder="1" applyAlignment="1" applyProtection="1">
      <alignment horizontal="center"/>
      <protection locked="0"/>
    </xf>
    <xf numFmtId="165" fontId="48" fillId="0" borderId="17" xfId="0" applyNumberFormat="1" applyFont="1" applyFill="1" applyBorder="1" applyProtection="1">
      <protection hidden="1"/>
    </xf>
    <xf numFmtId="174" fontId="49" fillId="8" borderId="45" xfId="1" applyNumberFormat="1" applyFont="1" applyFill="1" applyBorder="1" applyAlignment="1" applyProtection="1">
      <alignment horizontal="centerContinuous"/>
      <protection hidden="1"/>
    </xf>
    <xf numFmtId="175" fontId="49" fillId="8" borderId="46" xfId="0" applyNumberFormat="1" applyFont="1" applyFill="1" applyBorder="1" applyAlignment="1" applyProtection="1">
      <alignment horizontal="centerContinuous"/>
      <protection hidden="1"/>
    </xf>
    <xf numFmtId="174" fontId="49" fillId="8" borderId="46" xfId="1" applyNumberFormat="1" applyFont="1" applyFill="1" applyBorder="1" applyAlignment="1" applyProtection="1">
      <alignment horizontal="center"/>
      <protection hidden="1"/>
    </xf>
    <xf numFmtId="0" fontId="57" fillId="6" borderId="85" xfId="0" applyFont="1" applyFill="1" applyBorder="1" applyAlignment="1">
      <alignment vertical="top" wrapText="1"/>
    </xf>
    <xf numFmtId="0" fontId="58" fillId="0" borderId="0" xfId="0" applyFont="1" applyAlignment="1">
      <alignment horizontal="centerContinuous" vertical="center"/>
    </xf>
    <xf numFmtId="0" fontId="59" fillId="6" borderId="85" xfId="0" applyFont="1" applyFill="1" applyBorder="1" applyAlignment="1">
      <alignment horizontal="centerContinuous" vertical="center" wrapText="1"/>
    </xf>
    <xf numFmtId="0" fontId="59" fillId="6" borderId="85" xfId="0" applyFont="1" applyFill="1" applyBorder="1" applyAlignment="1">
      <alignment horizontal="center" vertical="center" wrapText="1"/>
    </xf>
    <xf numFmtId="0" fontId="57" fillId="6" borderId="85" xfId="0" applyFont="1" applyFill="1" applyBorder="1" applyAlignment="1">
      <alignment horizontal="center" vertical="center" wrapText="1"/>
    </xf>
    <xf numFmtId="169" fontId="19" fillId="7" borderId="1" xfId="2" applyNumberFormat="1" applyFont="1" applyFill="1" applyBorder="1" applyAlignment="1" applyProtection="1">
      <alignment horizontal="center"/>
      <protection locked="0"/>
    </xf>
    <xf numFmtId="37" fontId="36" fillId="7" borderId="31" xfId="0" applyNumberFormat="1" applyFont="1" applyFill="1" applyBorder="1" applyProtection="1">
      <protection locked="0"/>
    </xf>
    <xf numFmtId="0" fontId="17" fillId="16" borderId="64" xfId="0" applyFont="1" applyFill="1" applyBorder="1" applyProtection="1">
      <protection hidden="1"/>
    </xf>
    <xf numFmtId="0" fontId="16" fillId="16" borderId="8" xfId="0" applyFont="1" applyFill="1" applyBorder="1" applyProtection="1">
      <protection hidden="1"/>
    </xf>
    <xf numFmtId="165" fontId="0" fillId="0" borderId="0" xfId="0" applyNumberFormat="1" applyProtection="1">
      <protection hidden="1"/>
    </xf>
    <xf numFmtId="174" fontId="15" fillId="0" borderId="0" xfId="1" applyNumberFormat="1" applyFont="1" applyProtection="1">
      <protection hidden="1"/>
    </xf>
    <xf numFmtId="10" fontId="31" fillId="5" borderId="21" xfId="2" applyNumberFormat="1" applyFont="1" applyFill="1" applyBorder="1" applyProtection="1">
      <protection hidden="1"/>
    </xf>
    <xf numFmtId="174" fontId="0" fillId="0" borderId="0" xfId="0" applyNumberFormat="1" applyProtection="1">
      <protection hidden="1"/>
    </xf>
    <xf numFmtId="0" fontId="50" fillId="15" borderId="0" xfId="0" applyFont="1" applyFill="1" applyBorder="1" applyAlignment="1" applyProtection="1">
      <alignment horizontal="center"/>
      <protection hidden="1"/>
    </xf>
    <xf numFmtId="0" fontId="50" fillId="15" borderId="21" xfId="0" applyFont="1" applyFill="1" applyBorder="1" applyAlignment="1" applyProtection="1">
      <alignment horizontal="center"/>
      <protection hidden="1"/>
    </xf>
    <xf numFmtId="0" fontId="0" fillId="0" borderId="0" xfId="0" applyBorder="1" applyAlignment="1" applyProtection="1">
      <alignment horizontal="center"/>
      <protection hidden="1"/>
    </xf>
    <xf numFmtId="0" fontId="0" fillId="0" borderId="21" xfId="0" applyBorder="1" applyAlignment="1" applyProtection="1">
      <alignment horizontal="center"/>
      <protection hidden="1"/>
    </xf>
    <xf numFmtId="0" fontId="0" fillId="0" borderId="42" xfId="0" applyBorder="1" applyAlignment="1" applyProtection="1">
      <alignment horizontal="center"/>
      <protection hidden="1"/>
    </xf>
    <xf numFmtId="0" fontId="0" fillId="0" borderId="50" xfId="0" applyBorder="1" applyAlignment="1" applyProtection="1">
      <alignment horizontal="center"/>
      <protection hidden="1"/>
    </xf>
    <xf numFmtId="0" fontId="0" fillId="9" borderId="56" xfId="0" applyFill="1" applyBorder="1" applyProtection="1">
      <protection hidden="1"/>
    </xf>
    <xf numFmtId="0" fontId="0" fillId="9" borderId="38" xfId="0" applyFill="1" applyBorder="1" applyProtection="1">
      <protection hidden="1"/>
    </xf>
    <xf numFmtId="0" fontId="19" fillId="9" borderId="38" xfId="0" applyFont="1" applyFill="1" applyBorder="1" applyAlignment="1" applyProtection="1">
      <alignment horizontal="right"/>
      <protection hidden="1"/>
    </xf>
    <xf numFmtId="174" fontId="19" fillId="9" borderId="16" xfId="1" applyNumberFormat="1" applyFont="1" applyFill="1" applyBorder="1" applyProtection="1">
      <protection hidden="1"/>
    </xf>
    <xf numFmtId="0" fontId="19" fillId="9" borderId="60" xfId="0" applyFont="1" applyFill="1" applyBorder="1" applyProtection="1">
      <protection hidden="1"/>
    </xf>
    <xf numFmtId="0" fontId="0" fillId="9" borderId="17" xfId="0" applyFill="1" applyBorder="1" applyProtection="1">
      <protection hidden="1"/>
    </xf>
    <xf numFmtId="39" fontId="0" fillId="9" borderId="17" xfId="0" applyNumberFormat="1" applyFill="1" applyBorder="1" applyProtection="1">
      <protection hidden="1"/>
    </xf>
    <xf numFmtId="0" fontId="0" fillId="9" borderId="61" xfId="0" applyFill="1" applyBorder="1" applyProtection="1">
      <protection hidden="1"/>
    </xf>
    <xf numFmtId="174" fontId="19" fillId="9" borderId="49" xfId="1" applyNumberFormat="1" applyFont="1" applyFill="1" applyBorder="1" applyProtection="1">
      <protection hidden="1"/>
    </xf>
    <xf numFmtId="174" fontId="49" fillId="8" borderId="46" xfId="1" applyNumberFormat="1" applyFont="1" applyFill="1" applyBorder="1" applyAlignment="1" applyProtection="1">
      <alignment horizontal="center" wrapText="1"/>
      <protection locked="0"/>
    </xf>
    <xf numFmtId="0" fontId="0" fillId="0" borderId="23" xfId="0" applyBorder="1" applyAlignment="1" applyProtection="1">
      <alignment horizontal="centerContinuous" vertical="center"/>
      <protection hidden="1"/>
    </xf>
    <xf numFmtId="0" fontId="0" fillId="0" borderId="23" xfId="0" applyBorder="1" applyAlignment="1">
      <alignment horizontal="centerContinuous" vertical="center"/>
    </xf>
    <xf numFmtId="0" fontId="19" fillId="0" borderId="60" xfId="0" applyFont="1" applyFill="1" applyBorder="1" applyAlignment="1" applyProtection="1">
      <alignment horizontal="right"/>
      <protection hidden="1"/>
    </xf>
    <xf numFmtId="0" fontId="0" fillId="0" borderId="21" xfId="0" applyFill="1" applyBorder="1" applyProtection="1">
      <protection hidden="1"/>
    </xf>
    <xf numFmtId="0" fontId="19" fillId="0" borderId="23" xfId="0" applyFont="1" applyFill="1" applyBorder="1" applyAlignment="1" applyProtection="1">
      <alignment horizontal="right"/>
      <protection hidden="1"/>
    </xf>
    <xf numFmtId="166" fontId="43" fillId="9" borderId="42" xfId="1" applyFont="1" applyFill="1" applyBorder="1" applyProtection="1">
      <protection hidden="1"/>
    </xf>
    <xf numFmtId="37" fontId="19" fillId="9" borderId="55" xfId="0" applyNumberFormat="1" applyFont="1" applyFill="1" applyBorder="1" applyProtection="1">
      <protection hidden="1"/>
    </xf>
    <xf numFmtId="166" fontId="43" fillId="9" borderId="41" xfId="1" applyFont="1" applyFill="1" applyBorder="1" applyProtection="1">
      <protection hidden="1"/>
    </xf>
    <xf numFmtId="37" fontId="19" fillId="9" borderId="50" xfId="0" applyNumberFormat="1" applyFont="1" applyFill="1" applyBorder="1" applyProtection="1">
      <protection hidden="1"/>
    </xf>
    <xf numFmtId="0" fontId="21" fillId="0" borderId="0" xfId="0" applyFont="1" applyAlignment="1" applyProtection="1">
      <alignment vertical="top"/>
      <protection hidden="1"/>
    </xf>
    <xf numFmtId="0" fontId="60" fillId="15" borderId="17" xfId="0" applyFont="1" applyFill="1" applyBorder="1" applyAlignment="1" applyProtection="1">
      <alignment vertical="center" wrapText="1"/>
      <protection hidden="1"/>
    </xf>
    <xf numFmtId="0" fontId="60" fillId="15" borderId="49" xfId="0" applyFont="1" applyFill="1" applyBorder="1" applyAlignment="1" applyProtection="1">
      <alignment vertical="center" wrapText="1"/>
      <protection hidden="1"/>
    </xf>
    <xf numFmtId="0" fontId="60" fillId="15" borderId="60" xfId="0" applyFont="1" applyFill="1" applyBorder="1" applyAlignment="1" applyProtection="1">
      <alignment horizontal="centerContinuous" vertical="center" wrapText="1"/>
      <protection hidden="1"/>
    </xf>
    <xf numFmtId="0" fontId="60" fillId="15" borderId="17" xfId="0" applyFont="1" applyFill="1" applyBorder="1" applyAlignment="1" applyProtection="1">
      <alignment horizontal="centerContinuous" vertical="center" wrapText="1"/>
      <protection hidden="1"/>
    </xf>
    <xf numFmtId="0" fontId="60" fillId="15" borderId="49" xfId="0" applyFont="1" applyFill="1" applyBorder="1" applyAlignment="1" applyProtection="1">
      <alignment horizontal="centerContinuous" vertical="center" wrapText="1"/>
      <protection hidden="1"/>
    </xf>
    <xf numFmtId="0" fontId="50" fillId="0" borderId="21" xfId="0" applyFont="1" applyFill="1" applyBorder="1" applyAlignment="1" applyProtection="1">
      <alignment horizontal="centerContinuous" vertical="center"/>
      <protection hidden="1"/>
    </xf>
    <xf numFmtId="0" fontId="0" fillId="0" borderId="21" xfId="0" applyBorder="1" applyAlignment="1" applyProtection="1">
      <alignment horizontal="centerContinuous" vertical="center"/>
      <protection hidden="1"/>
    </xf>
    <xf numFmtId="165" fontId="48" fillId="0" borderId="49" xfId="0" applyNumberFormat="1" applyFont="1" applyFill="1" applyBorder="1" applyProtection="1">
      <protection locked="0"/>
    </xf>
    <xf numFmtId="174" fontId="41" fillId="5" borderId="21" xfId="1" applyNumberFormat="1" applyFont="1" applyFill="1" applyBorder="1" applyAlignment="1" applyProtection="1">
      <protection hidden="1"/>
    </xf>
    <xf numFmtId="0" fontId="19" fillId="0" borderId="21" xfId="1" applyNumberFormat="1" applyFont="1" applyFill="1" applyBorder="1" applyAlignment="1" applyProtection="1">
      <alignment horizontal="center"/>
      <protection hidden="1"/>
    </xf>
    <xf numFmtId="176" fontId="0" fillId="0" borderId="0" xfId="0" applyNumberFormat="1" applyProtection="1">
      <protection hidden="1"/>
    </xf>
    <xf numFmtId="174" fontId="15" fillId="17" borderId="0" xfId="1" applyNumberFormat="1" applyFont="1" applyFill="1" applyProtection="1">
      <protection hidden="1"/>
    </xf>
    <xf numFmtId="174" fontId="0" fillId="0" borderId="0" xfId="1" applyNumberFormat="1" applyFont="1" applyBorder="1" applyProtection="1">
      <protection hidden="1"/>
    </xf>
    <xf numFmtId="174" fontId="19" fillId="0" borderId="0" xfId="1" applyNumberFormat="1" applyFont="1" applyBorder="1" applyAlignment="1" applyProtection="1">
      <alignment horizontal="center"/>
      <protection hidden="1"/>
    </xf>
    <xf numFmtId="0" fontId="0" fillId="0" borderId="3" xfId="0" applyBorder="1" applyProtection="1">
      <protection hidden="1"/>
    </xf>
    <xf numFmtId="37" fontId="19" fillId="5" borderId="1" xfId="0" applyNumberFormat="1" applyFont="1" applyFill="1" applyBorder="1" applyAlignment="1" applyProtection="1">
      <alignment horizontal="center"/>
      <protection hidden="1"/>
    </xf>
    <xf numFmtId="177" fontId="49" fillId="8" borderId="26" xfId="0" applyNumberFormat="1" applyFont="1" applyFill="1" applyBorder="1" applyAlignment="1" applyProtection="1">
      <alignment horizontal="center"/>
      <protection locked="0"/>
    </xf>
    <xf numFmtId="177" fontId="49" fillId="8" borderId="58" xfId="0" applyNumberFormat="1" applyFont="1" applyFill="1" applyBorder="1" applyAlignment="1" applyProtection="1">
      <alignment horizontal="center"/>
      <protection locked="0"/>
    </xf>
    <xf numFmtId="166" fontId="19" fillId="9" borderId="49" xfId="1" applyNumberFormat="1" applyFont="1" applyFill="1" applyBorder="1" applyProtection="1">
      <protection hidden="1"/>
    </xf>
    <xf numFmtId="0" fontId="50" fillId="15" borderId="0" xfId="0" applyFont="1" applyFill="1" applyBorder="1" applyAlignment="1" applyProtection="1">
      <alignment horizontal="center"/>
      <protection hidden="1"/>
    </xf>
    <xf numFmtId="0" fontId="0" fillId="0" borderId="42" xfId="0" applyBorder="1" applyAlignment="1" applyProtection="1">
      <alignment horizontal="center"/>
      <protection hidden="1"/>
    </xf>
    <xf numFmtId="0" fontId="50" fillId="15" borderId="21" xfId="0" applyFont="1" applyFill="1" applyBorder="1" applyAlignment="1" applyProtection="1">
      <alignment horizontal="center"/>
      <protection hidden="1"/>
    </xf>
    <xf numFmtId="0" fontId="0" fillId="0" borderId="0" xfId="0" applyBorder="1" applyAlignment="1" applyProtection="1">
      <alignment horizontal="center"/>
      <protection hidden="1"/>
    </xf>
    <xf numFmtId="0" fontId="0" fillId="0" borderId="21" xfId="0" applyBorder="1" applyAlignment="1" applyProtection="1">
      <alignment horizontal="center"/>
      <protection hidden="1"/>
    </xf>
    <xf numFmtId="0" fontId="0" fillId="0" borderId="50" xfId="0" applyBorder="1" applyAlignment="1" applyProtection="1">
      <alignment horizontal="center"/>
      <protection hidden="1"/>
    </xf>
    <xf numFmtId="174" fontId="0" fillId="0" borderId="0" xfId="1" applyNumberFormat="1" applyFont="1" applyProtection="1">
      <protection hidden="1"/>
    </xf>
    <xf numFmtId="37" fontId="0" fillId="0" borderId="0" xfId="0" applyNumberFormat="1" applyProtection="1">
      <protection hidden="1"/>
    </xf>
    <xf numFmtId="166" fontId="0" fillId="0" borderId="0" xfId="1" applyNumberFormat="1" applyFont="1" applyProtection="1">
      <protection hidden="1"/>
    </xf>
    <xf numFmtId="10" fontId="31" fillId="0" borderId="21" xfId="2" applyNumberFormat="1" applyFont="1" applyFill="1" applyBorder="1" applyProtection="1">
      <protection hidden="1"/>
    </xf>
    <xf numFmtId="174" fontId="15" fillId="5" borderId="21" xfId="1" applyNumberFormat="1" applyFont="1" applyFill="1" applyBorder="1" applyProtection="1">
      <protection hidden="1"/>
    </xf>
    <xf numFmtId="2" fontId="0" fillId="0" borderId="0" xfId="0" applyNumberFormat="1" applyProtection="1">
      <protection hidden="1"/>
    </xf>
    <xf numFmtId="0" fontId="63" fillId="16" borderId="86" xfId="0" applyFont="1" applyFill="1" applyBorder="1" applyAlignment="1" applyProtection="1">
      <alignment horizontal="center" vertical="center" wrapText="1"/>
      <protection hidden="1"/>
    </xf>
    <xf numFmtId="0" fontId="63" fillId="16" borderId="87" xfId="0" applyFont="1" applyFill="1" applyBorder="1" applyAlignment="1" applyProtection="1">
      <alignment horizontal="center" vertical="center" wrapText="1"/>
      <protection hidden="1"/>
    </xf>
    <xf numFmtId="178" fontId="65" fillId="16" borderId="88" xfId="1" applyNumberFormat="1" applyFont="1" applyFill="1" applyBorder="1" applyAlignment="1" applyProtection="1">
      <alignment horizontal="center"/>
      <protection hidden="1"/>
    </xf>
    <xf numFmtId="0" fontId="58" fillId="0" borderId="16" xfId="0" applyFont="1" applyBorder="1" applyAlignment="1" applyProtection="1">
      <alignment horizontal="center"/>
      <protection hidden="1"/>
    </xf>
    <xf numFmtId="0" fontId="17" fillId="16" borderId="23" xfId="0" applyFont="1" applyFill="1" applyBorder="1" applyProtection="1">
      <protection hidden="1"/>
    </xf>
    <xf numFmtId="0" fontId="16" fillId="16" borderId="0" xfId="0" applyFont="1" applyFill="1" applyBorder="1" applyProtection="1">
      <protection hidden="1"/>
    </xf>
    <xf numFmtId="37" fontId="16" fillId="16" borderId="1" xfId="0" applyNumberFormat="1" applyFont="1" applyFill="1" applyBorder="1" applyProtection="1">
      <protection hidden="1"/>
    </xf>
    <xf numFmtId="168" fontId="17" fillId="16" borderId="1" xfId="2" applyNumberFormat="1" applyFont="1" applyFill="1" applyBorder="1" applyAlignment="1" applyProtection="1">
      <alignment horizontal="center"/>
      <protection hidden="1"/>
    </xf>
    <xf numFmtId="37" fontId="17" fillId="16" borderId="21" xfId="0" applyNumberFormat="1" applyFont="1" applyFill="1" applyBorder="1" applyProtection="1">
      <protection hidden="1"/>
    </xf>
    <xf numFmtId="0" fontId="16" fillId="16" borderId="37" xfId="0" applyFont="1" applyFill="1" applyBorder="1" applyProtection="1">
      <protection hidden="1"/>
    </xf>
    <xf numFmtId="37" fontId="16" fillId="16" borderId="35" xfId="0" applyNumberFormat="1" applyFont="1" applyFill="1" applyBorder="1" applyProtection="1">
      <protection hidden="1"/>
    </xf>
    <xf numFmtId="168" fontId="17" fillId="16" borderId="35" xfId="2" applyNumberFormat="1" applyFont="1" applyFill="1" applyBorder="1" applyAlignment="1" applyProtection="1">
      <alignment horizontal="center"/>
      <protection hidden="1"/>
    </xf>
    <xf numFmtId="37" fontId="17" fillId="16" borderId="51" xfId="0" applyNumberFormat="1" applyFont="1" applyFill="1" applyBorder="1" applyProtection="1">
      <protection hidden="1"/>
    </xf>
    <xf numFmtId="0" fontId="17" fillId="16" borderId="56" xfId="0" applyFont="1" applyFill="1" applyBorder="1" applyProtection="1">
      <protection hidden="1"/>
    </xf>
    <xf numFmtId="0" fontId="16" fillId="16" borderId="38" xfId="0" applyFont="1" applyFill="1" applyBorder="1" applyProtection="1">
      <protection hidden="1"/>
    </xf>
    <xf numFmtId="168" fontId="17" fillId="16" borderId="35" xfId="2" applyNumberFormat="1" applyFont="1" applyFill="1" applyBorder="1" applyProtection="1">
      <protection hidden="1"/>
    </xf>
    <xf numFmtId="0" fontId="17" fillId="16" borderId="89" xfId="0" applyFont="1" applyFill="1" applyBorder="1" applyProtection="1">
      <protection hidden="1"/>
    </xf>
    <xf numFmtId="0" fontId="16" fillId="16" borderId="90" xfId="0" applyFont="1" applyFill="1" applyBorder="1" applyProtection="1">
      <protection hidden="1"/>
    </xf>
    <xf numFmtId="37" fontId="16" fillId="16" borderId="91" xfId="0" applyNumberFormat="1" applyFont="1" applyFill="1" applyBorder="1" applyProtection="1">
      <protection hidden="1"/>
    </xf>
    <xf numFmtId="168" fontId="17" fillId="16" borderId="91" xfId="2" applyNumberFormat="1" applyFont="1" applyFill="1" applyBorder="1" applyAlignment="1" applyProtection="1">
      <alignment horizontal="center"/>
      <protection hidden="1"/>
    </xf>
    <xf numFmtId="37" fontId="17" fillId="16" borderId="92" xfId="0" applyNumberFormat="1" applyFont="1" applyFill="1" applyBorder="1" applyProtection="1">
      <protection hidden="1"/>
    </xf>
    <xf numFmtId="10" fontId="0" fillId="0" borderId="0" xfId="2" applyNumberFormat="1" applyFont="1" applyProtection="1">
      <protection hidden="1"/>
    </xf>
    <xf numFmtId="0" fontId="64" fillId="0" borderId="0" xfId="4" applyBorder="1" applyAlignment="1" applyProtection="1">
      <alignment horizontal="centerContinuous" vertical="center"/>
      <protection hidden="1"/>
    </xf>
    <xf numFmtId="0" fontId="50" fillId="15" borderId="0" xfId="0" applyFont="1" applyFill="1" applyBorder="1" applyAlignment="1" applyProtection="1">
      <alignment horizontal="center"/>
      <protection hidden="1"/>
    </xf>
    <xf numFmtId="0" fontId="0" fillId="0" borderId="42" xfId="0" applyBorder="1" applyAlignment="1" applyProtection="1">
      <alignment horizontal="center"/>
      <protection hidden="1"/>
    </xf>
    <xf numFmtId="0" fontId="50" fillId="15" borderId="21" xfId="0" applyFont="1" applyFill="1" applyBorder="1" applyAlignment="1" applyProtection="1">
      <alignment horizontal="center"/>
      <protection hidden="1"/>
    </xf>
    <xf numFmtId="0" fontId="0" fillId="0" borderId="0" xfId="0" applyBorder="1" applyAlignment="1" applyProtection="1">
      <alignment horizontal="center"/>
      <protection hidden="1"/>
    </xf>
    <xf numFmtId="0" fontId="0" fillId="0" borderId="21" xfId="0" applyBorder="1" applyAlignment="1" applyProtection="1">
      <alignment horizontal="center"/>
      <protection hidden="1"/>
    </xf>
    <xf numFmtId="0" fontId="0" fillId="0" borderId="50" xfId="0" applyBorder="1" applyAlignment="1" applyProtection="1">
      <alignment horizontal="center"/>
      <protection hidden="1"/>
    </xf>
    <xf numFmtId="172" fontId="67" fillId="0" borderId="0" xfId="1" applyNumberFormat="1" applyFont="1" applyFill="1" applyAlignment="1" applyProtection="1">
      <protection hidden="1"/>
    </xf>
    <xf numFmtId="172" fontId="68" fillId="0" borderId="0" xfId="1" applyNumberFormat="1" applyFont="1" applyFill="1" applyAlignment="1" applyProtection="1">
      <protection hidden="1"/>
    </xf>
    <xf numFmtId="0" fontId="68" fillId="0" borderId="0" xfId="0" applyFont="1" applyFill="1" applyAlignment="1" applyProtection="1">
      <protection hidden="1"/>
    </xf>
    <xf numFmtId="0" fontId="66" fillId="0" borderId="0" xfId="0" applyFont="1" applyFill="1" applyBorder="1" applyAlignment="1" applyProtection="1">
      <alignment horizontal="centerContinuous"/>
      <protection hidden="1"/>
    </xf>
    <xf numFmtId="172" fontId="66" fillId="0" borderId="0" xfId="1" applyNumberFormat="1" applyFont="1" applyFill="1" applyBorder="1" applyAlignment="1" applyProtection="1">
      <alignment horizontal="centerContinuous"/>
      <protection hidden="1"/>
    </xf>
    <xf numFmtId="172" fontId="68" fillId="0" borderId="0" xfId="1" applyNumberFormat="1" applyFont="1" applyFill="1" applyProtection="1">
      <protection hidden="1"/>
    </xf>
    <xf numFmtId="0" fontId="68" fillId="0" borderId="0" xfId="0" applyFont="1" applyFill="1" applyProtection="1">
      <protection hidden="1"/>
    </xf>
    <xf numFmtId="0" fontId="66" fillId="0" borderId="0" xfId="0" applyFont="1" applyFill="1" applyBorder="1" applyAlignment="1" applyProtection="1">
      <alignment horizontal="centerContinuous" vertical="center"/>
      <protection hidden="1"/>
    </xf>
    <xf numFmtId="172" fontId="66" fillId="0" borderId="0" xfId="1" applyNumberFormat="1" applyFont="1" applyFill="1" applyBorder="1" applyAlignment="1" applyProtection="1">
      <alignment horizontal="centerContinuous" vertical="center"/>
      <protection hidden="1"/>
    </xf>
    <xf numFmtId="3" fontId="70" fillId="0" borderId="0" xfId="1" applyNumberFormat="1" applyFont="1" applyFill="1" applyBorder="1" applyAlignment="1" applyProtection="1">
      <alignment horizontal="centerContinuous" vertical="center"/>
      <protection hidden="1"/>
    </xf>
    <xf numFmtId="0" fontId="66" fillId="0" borderId="17" xfId="0" applyFont="1" applyFill="1" applyBorder="1" applyAlignment="1" applyProtection="1">
      <alignment horizontal="centerContinuous" vertical="center"/>
      <protection hidden="1"/>
    </xf>
    <xf numFmtId="172" fontId="66" fillId="0" borderId="17" xfId="1" applyNumberFormat="1" applyFont="1" applyFill="1" applyBorder="1" applyAlignment="1" applyProtection="1">
      <alignment horizontal="centerContinuous" vertical="center"/>
      <protection hidden="1"/>
    </xf>
    <xf numFmtId="3" fontId="70" fillId="0" borderId="17" xfId="1" applyNumberFormat="1" applyFont="1" applyFill="1" applyBorder="1" applyAlignment="1" applyProtection="1">
      <alignment horizontal="centerContinuous" vertical="center"/>
      <protection hidden="1"/>
    </xf>
    <xf numFmtId="0" fontId="69" fillId="0" borderId="0" xfId="0" applyFont="1" applyFill="1" applyBorder="1" applyAlignment="1" applyProtection="1">
      <alignment vertical="center"/>
      <protection hidden="1"/>
    </xf>
    <xf numFmtId="172" fontId="69" fillId="0" borderId="0" xfId="1" applyNumberFormat="1" applyFont="1" applyFill="1" applyBorder="1" applyAlignment="1" applyProtection="1">
      <alignment vertical="center"/>
      <protection hidden="1"/>
    </xf>
    <xf numFmtId="3" fontId="70" fillId="0" borderId="0" xfId="1" applyNumberFormat="1" applyFont="1" applyFill="1" applyBorder="1" applyAlignment="1" applyProtection="1">
      <alignment vertical="center"/>
      <protection hidden="1"/>
    </xf>
    <xf numFmtId="0" fontId="66" fillId="0" borderId="0" xfId="0" applyFont="1" applyFill="1" applyBorder="1" applyAlignment="1" applyProtection="1">
      <alignment vertical="center"/>
      <protection hidden="1"/>
    </xf>
    <xf numFmtId="172" fontId="66" fillId="0" borderId="0" xfId="1" applyNumberFormat="1" applyFont="1" applyFill="1" applyBorder="1" applyAlignment="1" applyProtection="1">
      <alignment vertical="center"/>
      <protection hidden="1"/>
    </xf>
    <xf numFmtId="3" fontId="66" fillId="0" borderId="0" xfId="1" applyNumberFormat="1" applyFont="1" applyFill="1" applyBorder="1" applyAlignment="1" applyProtection="1">
      <alignment vertical="center"/>
      <protection hidden="1"/>
    </xf>
    <xf numFmtId="172" fontId="66" fillId="0" borderId="0" xfId="1" applyNumberFormat="1" applyFont="1" applyFill="1" applyBorder="1" applyAlignment="1" applyProtection="1">
      <alignment horizontal="center" vertical="center"/>
      <protection hidden="1"/>
    </xf>
    <xf numFmtId="3" fontId="66" fillId="0" borderId="0" xfId="1" applyNumberFormat="1" applyFont="1" applyFill="1" applyBorder="1" applyAlignment="1" applyProtection="1">
      <alignment horizontal="center" vertical="center"/>
      <protection hidden="1"/>
    </xf>
    <xf numFmtId="3" fontId="69" fillId="0" borderId="0" xfId="1" applyNumberFormat="1" applyFont="1" applyFill="1" applyBorder="1" applyAlignment="1" applyProtection="1">
      <alignment vertical="center"/>
      <protection hidden="1"/>
    </xf>
    <xf numFmtId="0" fontId="71" fillId="10" borderId="0" xfId="0" applyFont="1" applyFill="1" applyBorder="1" applyAlignment="1" applyProtection="1">
      <alignment vertical="center"/>
      <protection hidden="1"/>
    </xf>
    <xf numFmtId="172" fontId="71" fillId="10" borderId="0" xfId="1" applyNumberFormat="1" applyFont="1" applyFill="1" applyBorder="1" applyAlignment="1" applyProtection="1">
      <alignment vertical="center"/>
      <protection hidden="1"/>
    </xf>
    <xf numFmtId="3" fontId="71" fillId="10" borderId="0" xfId="1" applyNumberFormat="1" applyFont="1" applyFill="1" applyBorder="1" applyAlignment="1" applyProtection="1">
      <alignment vertical="center"/>
      <protection hidden="1"/>
    </xf>
    <xf numFmtId="0" fontId="68" fillId="5" borderId="0" xfId="0" applyFont="1" applyFill="1" applyBorder="1" applyAlignment="1" applyProtection="1">
      <alignment vertical="center"/>
      <protection hidden="1"/>
    </xf>
    <xf numFmtId="172" fontId="68" fillId="5" borderId="0" xfId="1" applyNumberFormat="1" applyFont="1" applyFill="1" applyBorder="1" applyAlignment="1" applyProtection="1">
      <alignment vertical="center"/>
      <protection hidden="1"/>
    </xf>
    <xf numFmtId="3" fontId="68" fillId="5" borderId="0" xfId="1" applyNumberFormat="1" applyFont="1" applyFill="1" applyBorder="1" applyAlignment="1" applyProtection="1">
      <alignment vertical="center"/>
      <protection hidden="1"/>
    </xf>
    <xf numFmtId="172" fontId="66" fillId="0" borderId="38" xfId="1" applyNumberFormat="1" applyFont="1" applyFill="1" applyBorder="1" applyAlignment="1" applyProtection="1">
      <alignment horizontal="centerContinuous" vertical="center" wrapText="1"/>
      <protection hidden="1"/>
    </xf>
    <xf numFmtId="0" fontId="69" fillId="0" borderId="38" xfId="0" applyFont="1" applyFill="1" applyBorder="1" applyAlignment="1" applyProtection="1">
      <alignment horizontal="centerContinuous" vertical="center"/>
      <protection hidden="1"/>
    </xf>
    <xf numFmtId="172" fontId="66" fillId="0" borderId="38" xfId="1" applyNumberFormat="1" applyFont="1" applyFill="1" applyBorder="1" applyAlignment="1" applyProtection="1">
      <alignment horizontal="center" vertical="center" wrapText="1"/>
      <protection hidden="1"/>
    </xf>
    <xf numFmtId="172" fontId="66" fillId="0" borderId="37" xfId="1" applyNumberFormat="1" applyFont="1" applyFill="1" applyBorder="1" applyAlignment="1" applyProtection="1">
      <alignment horizontal="center" vertical="center" wrapText="1"/>
      <protection hidden="1"/>
    </xf>
    <xf numFmtId="172" fontId="66" fillId="0" borderId="35" xfId="1" applyNumberFormat="1" applyFont="1" applyFill="1" applyBorder="1" applyAlignment="1" applyProtection="1">
      <alignment horizontal="center" vertical="center" wrapText="1"/>
      <protection hidden="1"/>
    </xf>
    <xf numFmtId="43" fontId="69" fillId="0" borderId="0" xfId="0" applyNumberFormat="1" applyFont="1" applyFill="1" applyBorder="1" applyAlignment="1" applyProtection="1">
      <alignment vertical="center"/>
      <protection hidden="1"/>
    </xf>
    <xf numFmtId="10" fontId="71" fillId="10" borderId="0" xfId="2" applyNumberFormat="1" applyFont="1" applyFill="1" applyBorder="1" applyAlignment="1" applyProtection="1">
      <alignment vertical="center"/>
      <protection hidden="1"/>
    </xf>
    <xf numFmtId="0" fontId="0" fillId="0" borderId="11" xfId="0" applyBorder="1" applyProtection="1">
      <protection hidden="1"/>
    </xf>
    <xf numFmtId="165" fontId="48" fillId="8" borderId="31" xfId="0" applyNumberFormat="1" applyFont="1" applyFill="1" applyBorder="1" applyProtection="1">
      <protection hidden="1"/>
    </xf>
    <xf numFmtId="174" fontId="41" fillId="8" borderId="0" xfId="1" applyNumberFormat="1" applyFont="1" applyFill="1" applyBorder="1" applyProtection="1">
      <protection hidden="1"/>
    </xf>
    <xf numFmtId="0" fontId="0" fillId="0" borderId="15" xfId="0" applyFill="1" applyBorder="1" applyAlignment="1">
      <alignment horizontal="center"/>
    </xf>
    <xf numFmtId="0" fontId="73" fillId="0" borderId="14" xfId="0" applyFont="1" applyBorder="1" applyAlignment="1">
      <alignment horizontal="centerContinuous"/>
    </xf>
    <xf numFmtId="169" fontId="0" fillId="0" borderId="0" xfId="0" applyNumberFormat="1"/>
    <xf numFmtId="169" fontId="0" fillId="0" borderId="15" xfId="0" applyNumberFormat="1" applyBorder="1"/>
    <xf numFmtId="172" fontId="0" fillId="0" borderId="0" xfId="1" applyNumberFormat="1" applyFont="1" applyProtection="1">
      <protection hidden="1"/>
    </xf>
    <xf numFmtId="10" fontId="4" fillId="0" borderId="0" xfId="2" applyNumberFormat="1" applyFont="1" applyProtection="1">
      <protection hidden="1"/>
    </xf>
    <xf numFmtId="166" fontId="0" fillId="0" borderId="0" xfId="1" applyFont="1" applyProtection="1">
      <protection hidden="1"/>
    </xf>
    <xf numFmtId="172" fontId="0" fillId="0" borderId="15" xfId="1" applyNumberFormat="1" applyFont="1" applyBorder="1" applyProtection="1">
      <protection hidden="1"/>
    </xf>
    <xf numFmtId="10" fontId="0" fillId="0" borderId="15" xfId="2" applyNumberFormat="1" applyFont="1" applyBorder="1" applyAlignment="1" applyProtection="1">
      <alignment horizontal="center"/>
      <protection hidden="1"/>
    </xf>
    <xf numFmtId="172" fontId="0" fillId="0" borderId="15" xfId="1" applyNumberFormat="1" applyFont="1" applyFill="1" applyBorder="1" applyProtection="1">
      <protection hidden="1"/>
    </xf>
    <xf numFmtId="0" fontId="1" fillId="0" borderId="15" xfId="0" applyFont="1" applyBorder="1" applyAlignment="1" applyProtection="1">
      <alignment horizontal="center" vertical="center" wrapText="1"/>
      <protection hidden="1"/>
    </xf>
    <xf numFmtId="37" fontId="31" fillId="0" borderId="27" xfId="0" applyNumberFormat="1" applyFont="1" applyFill="1" applyBorder="1" applyProtection="1">
      <protection hidden="1"/>
    </xf>
    <xf numFmtId="37" fontId="31" fillId="0" borderId="21" xfId="0" applyNumberFormat="1" applyFont="1" applyFill="1" applyBorder="1" applyProtection="1">
      <protection hidden="1"/>
    </xf>
    <xf numFmtId="0" fontId="48" fillId="7" borderId="15" xfId="0" applyFont="1" applyFill="1" applyBorder="1" applyAlignment="1" applyProtection="1">
      <alignment horizontal="center"/>
      <protection locked="0"/>
    </xf>
    <xf numFmtId="171" fontId="33" fillId="0" borderId="0" xfId="1" applyNumberFormat="1" applyFont="1" applyFill="1" applyBorder="1" applyAlignment="1">
      <alignment vertical="center" wrapText="1"/>
    </xf>
    <xf numFmtId="174" fontId="19" fillId="9" borderId="51" xfId="1" applyNumberFormat="1" applyFont="1" applyFill="1" applyBorder="1" applyProtection="1">
      <protection hidden="1"/>
    </xf>
    <xf numFmtId="0" fontId="19" fillId="9" borderId="37" xfId="0" applyFont="1" applyFill="1" applyBorder="1" applyAlignment="1" applyProtection="1">
      <alignment horizontal="right"/>
      <protection hidden="1"/>
    </xf>
    <xf numFmtId="0" fontId="66" fillId="0" borderId="96" xfId="0" applyFont="1" applyFill="1" applyBorder="1" applyAlignment="1" applyProtection="1">
      <alignment horizontal="centerContinuous"/>
      <protection hidden="1"/>
    </xf>
    <xf numFmtId="172" fontId="66" fillId="0" borderId="97" xfId="1" applyNumberFormat="1" applyFont="1" applyFill="1" applyBorder="1" applyAlignment="1" applyProtection="1">
      <alignment horizontal="centerContinuous"/>
      <protection hidden="1"/>
    </xf>
    <xf numFmtId="0" fontId="69" fillId="0" borderId="98" xfId="0" applyFont="1" applyFill="1" applyBorder="1" applyProtection="1">
      <protection hidden="1"/>
    </xf>
    <xf numFmtId="0" fontId="69" fillId="0" borderId="99" xfId="0" applyFont="1" applyFill="1" applyBorder="1" applyProtection="1">
      <protection hidden="1"/>
    </xf>
    <xf numFmtId="172" fontId="69" fillId="0" borderId="99" xfId="1" applyNumberFormat="1" applyFont="1" applyFill="1" applyBorder="1" applyProtection="1">
      <protection hidden="1"/>
    </xf>
    <xf numFmtId="3" fontId="70" fillId="0" borderId="99" xfId="1" applyNumberFormat="1" applyFont="1" applyFill="1" applyBorder="1" applyProtection="1">
      <protection hidden="1"/>
    </xf>
    <xf numFmtId="172" fontId="69" fillId="0" borderId="100" xfId="1" applyNumberFormat="1" applyFont="1" applyFill="1" applyBorder="1" applyProtection="1">
      <protection hidden="1"/>
    </xf>
    <xf numFmtId="0" fontId="66" fillId="0" borderId="96" xfId="0" applyFont="1" applyFill="1" applyBorder="1" applyAlignment="1" applyProtection="1">
      <alignment horizontal="centerContinuous" vertical="center"/>
      <protection hidden="1"/>
    </xf>
    <xf numFmtId="172" fontId="66" fillId="0" borderId="97" xfId="1" applyNumberFormat="1" applyFont="1" applyFill="1" applyBorder="1" applyAlignment="1" applyProtection="1">
      <alignment horizontal="centerContinuous" vertical="center"/>
      <protection hidden="1"/>
    </xf>
    <xf numFmtId="0" fontId="66" fillId="0" borderId="101" xfId="0" applyFont="1" applyFill="1" applyBorder="1" applyAlignment="1" applyProtection="1">
      <alignment horizontal="centerContinuous" vertical="center"/>
      <protection hidden="1"/>
    </xf>
    <xf numFmtId="172" fontId="66" fillId="0" borderId="102" xfId="1" applyNumberFormat="1" applyFont="1" applyFill="1" applyBorder="1" applyAlignment="1" applyProtection="1">
      <alignment horizontal="centerContinuous" vertical="center"/>
      <protection hidden="1"/>
    </xf>
    <xf numFmtId="0" fontId="69" fillId="0" borderId="96" xfId="0" applyFont="1" applyFill="1" applyBorder="1" applyAlignment="1" applyProtection="1">
      <alignment vertical="center"/>
      <protection hidden="1"/>
    </xf>
    <xf numFmtId="3" fontId="74" fillId="0" borderId="97" xfId="1" applyNumberFormat="1" applyFont="1" applyFill="1" applyBorder="1" applyAlignment="1" applyProtection="1">
      <alignment vertical="center"/>
      <protection locked="0"/>
    </xf>
    <xf numFmtId="0" fontId="71" fillId="10" borderId="96" xfId="0" applyFont="1" applyFill="1" applyBorder="1" applyAlignment="1" applyProtection="1">
      <alignment vertical="center"/>
      <protection hidden="1"/>
    </xf>
    <xf numFmtId="172" fontId="71" fillId="10" borderId="97" xfId="0" applyNumberFormat="1" applyFont="1" applyFill="1" applyBorder="1" applyAlignment="1" applyProtection="1">
      <alignment vertical="center"/>
      <protection hidden="1"/>
    </xf>
    <xf numFmtId="0" fontId="68" fillId="5" borderId="96" xfId="0" applyFont="1" applyFill="1" applyBorder="1" applyAlignment="1" applyProtection="1">
      <alignment vertical="center"/>
      <protection hidden="1"/>
    </xf>
    <xf numFmtId="172" fontId="67" fillId="5" borderId="97" xfId="1" applyNumberFormat="1" applyFont="1" applyFill="1" applyBorder="1" applyAlignment="1" applyProtection="1">
      <alignment vertical="center"/>
      <protection hidden="1"/>
    </xf>
    <xf numFmtId="172" fontId="66" fillId="0" borderId="103" xfId="1" applyNumberFormat="1" applyFont="1" applyFill="1" applyBorder="1" applyAlignment="1" applyProtection="1">
      <alignment horizontal="center" vertical="center" wrapText="1"/>
      <protection hidden="1"/>
    </xf>
    <xf numFmtId="172" fontId="66" fillId="0" borderId="104" xfId="1" applyNumberFormat="1" applyFont="1" applyFill="1" applyBorder="1" applyAlignment="1" applyProtection="1">
      <alignment horizontal="center" vertical="center" wrapText="1"/>
      <protection hidden="1"/>
    </xf>
    <xf numFmtId="172" fontId="69" fillId="0" borderId="97" xfId="1" applyNumberFormat="1" applyFont="1" applyFill="1" applyBorder="1" applyAlignment="1" applyProtection="1">
      <alignment vertical="center"/>
      <protection hidden="1"/>
    </xf>
    <xf numFmtId="0" fontId="71" fillId="10" borderId="105" xfId="0" applyFont="1" applyFill="1" applyBorder="1" applyAlignment="1" applyProtection="1">
      <alignment vertical="center"/>
      <protection hidden="1"/>
    </xf>
    <xf numFmtId="0" fontId="71" fillId="10" borderId="106" xfId="0" applyFont="1" applyFill="1" applyBorder="1" applyAlignment="1" applyProtection="1">
      <alignment vertical="center"/>
      <protection hidden="1"/>
    </xf>
    <xf numFmtId="172" fontId="71" fillId="10" borderId="106" xfId="1" applyNumberFormat="1" applyFont="1" applyFill="1" applyBorder="1" applyAlignment="1" applyProtection="1">
      <alignment vertical="center"/>
      <protection hidden="1"/>
    </xf>
    <xf numFmtId="172" fontId="71" fillId="10" borderId="107" xfId="1" applyNumberFormat="1" applyFont="1" applyFill="1" applyBorder="1" applyAlignment="1" applyProtection="1">
      <alignment horizontal="right" vertical="center"/>
      <protection hidden="1"/>
    </xf>
    <xf numFmtId="172" fontId="71" fillId="10" borderId="108" xfId="1" applyNumberFormat="1" applyFont="1" applyFill="1" applyBorder="1" applyAlignment="1" applyProtection="1">
      <alignment vertical="center"/>
      <protection hidden="1"/>
    </xf>
    <xf numFmtId="0" fontId="50" fillId="15" borderId="23" xfId="0" applyFont="1" applyFill="1" applyBorder="1" applyAlignment="1" applyProtection="1">
      <alignment horizontal="center"/>
      <protection hidden="1"/>
    </xf>
    <xf numFmtId="0" fontId="50" fillId="15" borderId="0" xfId="0" applyFont="1" applyFill="1" applyBorder="1" applyAlignment="1" applyProtection="1">
      <alignment horizontal="center"/>
      <protection hidden="1"/>
    </xf>
    <xf numFmtId="0" fontId="0" fillId="0" borderId="53" xfId="0" applyBorder="1" applyAlignment="1" applyProtection="1">
      <alignment horizontal="center"/>
      <protection hidden="1"/>
    </xf>
    <xf numFmtId="0" fontId="0" fillId="0" borderId="42" xfId="0" applyBorder="1" applyAlignment="1" applyProtection="1">
      <alignment horizontal="center"/>
      <protection hidden="1"/>
    </xf>
    <xf numFmtId="0" fontId="50" fillId="15" borderId="21" xfId="0" applyFont="1" applyFill="1" applyBorder="1" applyAlignment="1" applyProtection="1">
      <alignment horizontal="center"/>
      <protection hidden="1"/>
    </xf>
    <xf numFmtId="0" fontId="0" fillId="0" borderId="23" xfId="0" applyBorder="1" applyAlignment="1" applyProtection="1">
      <alignment horizontal="center"/>
      <protection hidden="1"/>
    </xf>
    <xf numFmtId="0" fontId="0" fillId="0" borderId="0" xfId="0" applyBorder="1" applyAlignment="1" applyProtection="1">
      <alignment horizontal="center"/>
      <protection hidden="1"/>
    </xf>
    <xf numFmtId="0" fontId="0" fillId="0" borderId="21" xfId="0" applyBorder="1" applyAlignment="1" applyProtection="1">
      <alignment horizontal="center"/>
      <protection hidden="1"/>
    </xf>
    <xf numFmtId="0" fontId="0" fillId="0" borderId="50" xfId="0" applyBorder="1" applyAlignment="1" applyProtection="1">
      <alignment horizontal="center"/>
      <protection hidden="1"/>
    </xf>
    <xf numFmtId="165" fontId="75" fillId="8" borderId="13" xfId="0" applyNumberFormat="1" applyFont="1" applyFill="1" applyBorder="1" applyAlignment="1" applyProtection="1">
      <alignment horizontal="center"/>
      <protection locked="0"/>
    </xf>
    <xf numFmtId="0" fontId="30" fillId="8" borderId="14" xfId="0" applyFont="1" applyFill="1" applyBorder="1" applyAlignment="1" applyProtection="1">
      <alignment horizontal="center"/>
      <protection hidden="1"/>
    </xf>
    <xf numFmtId="0" fontId="30" fillId="7" borderId="14" xfId="0" applyFont="1" applyFill="1" applyBorder="1" applyAlignment="1" applyProtection="1">
      <alignment horizontal="center"/>
      <protection hidden="1"/>
    </xf>
    <xf numFmtId="0" fontId="0" fillId="12" borderId="23" xfId="0" applyFill="1" applyBorder="1" applyProtection="1">
      <protection hidden="1"/>
    </xf>
    <xf numFmtId="0" fontId="0" fillId="12" borderId="0" xfId="0" applyFill="1" applyBorder="1" applyProtection="1">
      <protection hidden="1"/>
    </xf>
    <xf numFmtId="37" fontId="0" fillId="12" borderId="1" xfId="0" applyNumberFormat="1" applyFill="1" applyBorder="1" applyProtection="1">
      <protection hidden="1"/>
    </xf>
    <xf numFmtId="169" fontId="19" fillId="12" borderId="15" xfId="2" applyNumberFormat="1" applyFont="1" applyFill="1" applyBorder="1" applyAlignment="1" applyProtection="1">
      <alignment horizontal="center"/>
      <protection hidden="1"/>
    </xf>
    <xf numFmtId="37" fontId="0" fillId="12" borderId="21" xfId="0" applyNumberFormat="1" applyFill="1" applyBorder="1" applyProtection="1">
      <protection hidden="1"/>
    </xf>
    <xf numFmtId="168" fontId="19" fillId="12" borderId="1" xfId="2" applyNumberFormat="1" applyFont="1" applyFill="1" applyBorder="1" applyAlignment="1" applyProtection="1">
      <alignment horizontal="center"/>
      <protection hidden="1"/>
    </xf>
    <xf numFmtId="37" fontId="36" fillId="12" borderId="31" xfId="0" applyNumberFormat="1" applyFont="1" applyFill="1" applyBorder="1" applyProtection="1">
      <protection locked="0"/>
    </xf>
    <xf numFmtId="0" fontId="19" fillId="0" borderId="0" xfId="0" applyFont="1"/>
    <xf numFmtId="0" fontId="0" fillId="0" borderId="0" xfId="0" applyBorder="1" applyAlignment="1">
      <alignment horizontal="centerContinuous" vertical="center"/>
    </xf>
    <xf numFmtId="0" fontId="17" fillId="15" borderId="17" xfId="0" applyFont="1" applyFill="1" applyBorder="1" applyAlignment="1" applyProtection="1">
      <alignment horizontal="centerContinuous" vertical="center"/>
      <protection hidden="1"/>
    </xf>
    <xf numFmtId="0" fontId="19" fillId="8" borderId="54" xfId="0" applyFont="1" applyFill="1" applyBorder="1" applyAlignment="1" applyProtection="1">
      <alignment horizontal="right"/>
      <protection hidden="1"/>
    </xf>
    <xf numFmtId="0" fontId="19" fillId="8" borderId="7" xfId="0" applyFont="1" applyFill="1" applyBorder="1" applyAlignment="1" applyProtection="1">
      <alignment horizontal="right"/>
      <protection hidden="1"/>
    </xf>
    <xf numFmtId="0" fontId="17" fillId="15" borderId="54" xfId="0" applyFont="1" applyFill="1" applyBorder="1" applyAlignment="1" applyProtection="1">
      <alignment horizontal="centerContinuous" vertical="center"/>
      <protection hidden="1"/>
    </xf>
    <xf numFmtId="0" fontId="17" fillId="15" borderId="13" xfId="0" applyFont="1" applyFill="1" applyBorder="1" applyAlignment="1" applyProtection="1">
      <alignment horizontal="centerContinuous" vertical="center"/>
      <protection hidden="1"/>
    </xf>
    <xf numFmtId="0" fontId="19" fillId="5" borderId="0" xfId="0" applyFont="1" applyFill="1" applyBorder="1" applyAlignment="1" applyProtection="1">
      <alignment horizontal="left"/>
      <protection hidden="1"/>
    </xf>
    <xf numFmtId="0" fontId="19" fillId="8" borderId="42" xfId="0" applyFont="1" applyFill="1" applyBorder="1" applyAlignment="1" applyProtection="1">
      <alignment horizontal="right"/>
      <protection hidden="1"/>
    </xf>
    <xf numFmtId="0" fontId="19" fillId="7" borderId="45" xfId="0" applyFont="1" applyFill="1" applyBorder="1" applyAlignment="1" applyProtection="1">
      <alignment horizontal="left"/>
      <protection hidden="1"/>
    </xf>
    <xf numFmtId="0" fontId="0" fillId="0" borderId="23" xfId="0" applyBorder="1" applyProtection="1">
      <protection hidden="1"/>
    </xf>
    <xf numFmtId="0" fontId="76" fillId="15" borderId="45" xfId="0" applyFont="1" applyFill="1" applyBorder="1" applyAlignment="1" applyProtection="1">
      <alignment horizontal="centerContinuous"/>
      <protection hidden="1"/>
    </xf>
    <xf numFmtId="0" fontId="19" fillId="8" borderId="45" xfId="0" applyFont="1" applyFill="1" applyBorder="1" applyAlignment="1" applyProtection="1">
      <alignment horizontal="center"/>
      <protection hidden="1"/>
    </xf>
    <xf numFmtId="0" fontId="19" fillId="5" borderId="38" xfId="0" applyFont="1" applyFill="1" applyBorder="1" applyAlignment="1" applyProtection="1">
      <alignment horizontal="centerContinuous" vertical="center"/>
      <protection hidden="1"/>
    </xf>
    <xf numFmtId="0" fontId="19" fillId="9" borderId="45" xfId="0" applyFont="1" applyFill="1" applyBorder="1" applyAlignment="1" applyProtection="1">
      <alignment horizontal="center"/>
      <protection hidden="1"/>
    </xf>
    <xf numFmtId="0" fontId="19" fillId="7" borderId="45" xfId="0" applyFont="1" applyFill="1" applyBorder="1" applyAlignment="1" applyProtection="1">
      <alignment horizontal="center"/>
      <protection hidden="1"/>
    </xf>
    <xf numFmtId="0" fontId="44" fillId="13" borderId="45" xfId="0" applyFont="1" applyFill="1" applyBorder="1" applyAlignment="1" applyProtection="1">
      <alignment horizontal="center"/>
      <protection hidden="1"/>
    </xf>
    <xf numFmtId="0" fontId="19" fillId="8" borderId="33" xfId="0" applyFont="1" applyFill="1" applyBorder="1" applyAlignment="1" applyProtection="1">
      <alignment horizontal="center"/>
      <protection hidden="1"/>
    </xf>
    <xf numFmtId="0" fontId="19" fillId="8" borderId="24" xfId="0" applyFont="1" applyFill="1" applyBorder="1" applyAlignment="1" applyProtection="1">
      <alignment horizontal="center"/>
      <protection hidden="1"/>
    </xf>
    <xf numFmtId="0" fontId="19" fillId="8" borderId="19" xfId="0" applyFont="1" applyFill="1" applyBorder="1" applyAlignment="1" applyProtection="1">
      <alignment horizontal="center"/>
      <protection hidden="1"/>
    </xf>
    <xf numFmtId="0" fontId="0" fillId="5" borderId="23" xfId="0" applyFill="1" applyBorder="1" applyAlignment="1" applyProtection="1">
      <alignment horizontal="center"/>
      <protection hidden="1"/>
    </xf>
    <xf numFmtId="0" fontId="19" fillId="5" borderId="60" xfId="0" applyFont="1" applyFill="1" applyBorder="1" applyAlignment="1" applyProtection="1">
      <alignment horizontal="center"/>
      <protection hidden="1"/>
    </xf>
    <xf numFmtId="0" fontId="47" fillId="5" borderId="23" xfId="0" applyFont="1" applyFill="1" applyBorder="1" applyAlignment="1" applyProtection="1">
      <alignment horizontal="center"/>
      <protection hidden="1"/>
    </xf>
    <xf numFmtId="0" fontId="17" fillId="16" borderId="60" xfId="0" applyFont="1" applyFill="1" applyBorder="1" applyAlignment="1" applyProtection="1">
      <alignment horizontal="center"/>
      <protection hidden="1"/>
    </xf>
    <xf numFmtId="0" fontId="17" fillId="16" borderId="89" xfId="0" applyFont="1" applyFill="1" applyBorder="1" applyAlignment="1" applyProtection="1">
      <alignment horizontal="center"/>
      <protection hidden="1"/>
    </xf>
    <xf numFmtId="0" fontId="17" fillId="0" borderId="23" xfId="0" applyFont="1" applyFill="1" applyBorder="1" applyAlignment="1" applyProtection="1">
      <alignment horizontal="center"/>
      <protection hidden="1"/>
    </xf>
    <xf numFmtId="0" fontId="17" fillId="16" borderId="56" xfId="0" applyFont="1" applyFill="1" applyBorder="1" applyAlignment="1" applyProtection="1">
      <alignment horizontal="center"/>
      <protection hidden="1"/>
    </xf>
    <xf numFmtId="0" fontId="19" fillId="9" borderId="23" xfId="0" applyFont="1" applyFill="1" applyBorder="1" applyAlignment="1" applyProtection="1">
      <alignment horizontal="center"/>
      <protection hidden="1"/>
    </xf>
    <xf numFmtId="0" fontId="19" fillId="9" borderId="53" xfId="0" applyFont="1" applyFill="1" applyBorder="1" applyAlignment="1" applyProtection="1">
      <alignment horizontal="center"/>
      <protection hidden="1"/>
    </xf>
    <xf numFmtId="0" fontId="19" fillId="5" borderId="23" xfId="0" applyFont="1" applyFill="1" applyBorder="1" applyAlignment="1" applyProtection="1">
      <alignment horizontal="center"/>
      <protection hidden="1"/>
    </xf>
    <xf numFmtId="0" fontId="19" fillId="12" borderId="23" xfId="0" applyFont="1" applyFill="1" applyBorder="1" applyAlignment="1" applyProtection="1">
      <alignment horizontal="center"/>
      <protection hidden="1"/>
    </xf>
    <xf numFmtId="0" fontId="19" fillId="0" borderId="23" xfId="0" applyFont="1" applyBorder="1" applyAlignment="1" applyProtection="1">
      <alignment horizontal="center"/>
      <protection hidden="1"/>
    </xf>
    <xf numFmtId="0" fontId="19" fillId="0" borderId="23" xfId="0" applyFont="1" applyFill="1" applyBorder="1" applyAlignment="1" applyProtection="1">
      <alignment horizontal="center"/>
      <protection hidden="1"/>
    </xf>
    <xf numFmtId="0" fontId="19" fillId="5" borderId="56" xfId="0" applyFont="1" applyFill="1" applyBorder="1" applyAlignment="1" applyProtection="1">
      <alignment horizontal="center" vertical="center"/>
      <protection hidden="1"/>
    </xf>
    <xf numFmtId="0" fontId="60" fillId="15" borderId="60" xfId="0" applyFont="1" applyFill="1" applyBorder="1" applyAlignment="1" applyProtection="1">
      <alignment horizontal="centerContinuous" vertical="center"/>
      <protection hidden="1"/>
    </xf>
    <xf numFmtId="0" fontId="52" fillId="15" borderId="11" xfId="0" applyFont="1" applyFill="1" applyBorder="1" applyAlignment="1" applyProtection="1">
      <alignment horizontal="centerContinuous" vertical="center"/>
      <protection hidden="1"/>
    </xf>
    <xf numFmtId="0" fontId="53" fillId="15" borderId="11" xfId="0" applyFont="1" applyFill="1" applyBorder="1" applyAlignment="1" applyProtection="1">
      <alignment horizontal="centerContinuous"/>
      <protection hidden="1"/>
    </xf>
    <xf numFmtId="0" fontId="52" fillId="15" borderId="62" xfId="0" applyFont="1" applyFill="1" applyBorder="1" applyAlignment="1" applyProtection="1">
      <alignment horizontal="centerContinuous" vertical="center"/>
      <protection hidden="1"/>
    </xf>
    <xf numFmtId="0" fontId="19" fillId="8" borderId="52" xfId="0" applyFont="1" applyFill="1" applyBorder="1" applyAlignment="1" applyProtection="1">
      <alignment horizontal="left"/>
      <protection hidden="1"/>
    </xf>
    <xf numFmtId="0" fontId="75" fillId="8" borderId="54" xfId="0" applyFont="1" applyFill="1" applyBorder="1" applyAlignment="1" applyProtection="1">
      <alignment horizontal="centerContinuous"/>
      <protection hidden="1"/>
    </xf>
    <xf numFmtId="0" fontId="75" fillId="8" borderId="13" xfId="0" applyFont="1" applyFill="1" applyBorder="1" applyAlignment="1" applyProtection="1">
      <alignment horizontal="centerContinuous"/>
      <protection hidden="1"/>
    </xf>
    <xf numFmtId="0" fontId="0" fillId="8" borderId="13" xfId="0" applyFill="1" applyBorder="1" applyProtection="1">
      <protection hidden="1"/>
    </xf>
    <xf numFmtId="0" fontId="19" fillId="9" borderId="60" xfId="0" applyFont="1" applyFill="1" applyBorder="1" applyAlignment="1" applyProtection="1">
      <alignment horizontal="center"/>
      <protection hidden="1"/>
    </xf>
    <xf numFmtId="0" fontId="19" fillId="9" borderId="56" xfId="0" applyFont="1" applyFill="1" applyBorder="1" applyAlignment="1" applyProtection="1">
      <alignment horizontal="center"/>
      <protection hidden="1"/>
    </xf>
    <xf numFmtId="10" fontId="0" fillId="5" borderId="27" xfId="2" applyNumberFormat="1" applyFont="1" applyFill="1" applyBorder="1" applyProtection="1">
      <protection hidden="1"/>
    </xf>
    <xf numFmtId="0" fontId="55" fillId="8" borderId="54" xfId="0" applyFont="1" applyFill="1" applyBorder="1" applyAlignment="1" applyProtection="1">
      <alignment horizontal="center"/>
      <protection hidden="1"/>
    </xf>
    <xf numFmtId="0" fontId="55" fillId="8" borderId="13" xfId="0" applyFont="1" applyFill="1" applyBorder="1" applyAlignment="1" applyProtection="1">
      <alignment horizontal="center"/>
      <protection hidden="1"/>
    </xf>
    <xf numFmtId="0" fontId="55" fillId="8" borderId="14" xfId="0" applyFont="1" applyFill="1" applyBorder="1" applyAlignment="1" applyProtection="1">
      <alignment horizontal="center"/>
      <protection hidden="1"/>
    </xf>
    <xf numFmtId="0" fontId="16" fillId="15" borderId="0" xfId="0" applyFont="1" applyFill="1" applyBorder="1" applyAlignment="1" applyProtection="1">
      <alignment horizontal="centerContinuous"/>
      <protection hidden="1"/>
    </xf>
    <xf numFmtId="0" fontId="19" fillId="0" borderId="32" xfId="0" applyFont="1" applyFill="1" applyBorder="1" applyAlignment="1" applyProtection="1">
      <alignment horizontal="center"/>
      <protection hidden="1"/>
    </xf>
    <xf numFmtId="0" fontId="19" fillId="9" borderId="16" xfId="0" applyFont="1" applyFill="1" applyBorder="1" applyAlignment="1" applyProtection="1">
      <alignment horizontal="center"/>
      <protection hidden="1"/>
    </xf>
    <xf numFmtId="0" fontId="75" fillId="8" borderId="13" xfId="0" applyFont="1" applyFill="1" applyBorder="1" applyAlignment="1" applyProtection="1">
      <alignment horizontal="center"/>
      <protection hidden="1"/>
    </xf>
    <xf numFmtId="0" fontId="31" fillId="8" borderId="13" xfId="0" applyFont="1" applyFill="1" applyBorder="1" applyProtection="1">
      <protection hidden="1"/>
    </xf>
    <xf numFmtId="10" fontId="19" fillId="8" borderId="63" xfId="2" applyNumberFormat="1" applyFont="1" applyFill="1" applyBorder="1" applyProtection="1">
      <protection hidden="1"/>
    </xf>
    <xf numFmtId="10" fontId="19" fillId="8" borderId="67" xfId="2" applyNumberFormat="1" applyFont="1" applyFill="1" applyBorder="1" applyProtection="1">
      <protection hidden="1"/>
    </xf>
    <xf numFmtId="0" fontId="19" fillId="8" borderId="18" xfId="0" applyFont="1" applyFill="1" applyBorder="1" applyAlignment="1" applyProtection="1">
      <alignment horizontal="center"/>
      <protection hidden="1"/>
    </xf>
    <xf numFmtId="0" fontId="17" fillId="16" borderId="23" xfId="0" applyFont="1" applyFill="1" applyBorder="1" applyAlignment="1" applyProtection="1">
      <alignment horizontal="center"/>
      <protection hidden="1"/>
    </xf>
    <xf numFmtId="0" fontId="19" fillId="0" borderId="53" xfId="0" applyFont="1" applyBorder="1" applyAlignment="1" applyProtection="1">
      <alignment horizontal="center"/>
      <protection hidden="1"/>
    </xf>
    <xf numFmtId="0" fontId="55" fillId="8" borderId="5" xfId="0" applyFont="1" applyFill="1" applyBorder="1" applyAlignment="1" applyProtection="1">
      <alignment horizontal="center"/>
      <protection hidden="1"/>
    </xf>
    <xf numFmtId="0" fontId="19" fillId="8" borderId="62" xfId="0" applyFont="1" applyFill="1" applyBorder="1" applyAlignment="1" applyProtection="1">
      <alignment horizontal="left"/>
      <protection hidden="1"/>
    </xf>
    <xf numFmtId="165" fontId="55" fillId="8" borderId="13" xfId="0" applyNumberFormat="1" applyFont="1" applyFill="1" applyBorder="1" applyAlignment="1" applyProtection="1">
      <alignment horizontal="center"/>
      <protection locked="0"/>
    </xf>
    <xf numFmtId="0" fontId="44" fillId="13" borderId="62" xfId="0" applyFont="1" applyFill="1" applyBorder="1" applyAlignment="1" applyProtection="1">
      <alignment horizontal="center"/>
      <protection hidden="1"/>
    </xf>
    <xf numFmtId="0" fontId="44" fillId="13" borderId="62" xfId="0" applyFont="1" applyFill="1" applyBorder="1" applyAlignment="1" applyProtection="1">
      <alignment horizontal="right"/>
      <protection hidden="1"/>
    </xf>
    <xf numFmtId="0" fontId="55" fillId="13" borderId="11" xfId="0" applyFont="1" applyFill="1" applyBorder="1" applyAlignment="1" applyProtection="1">
      <alignment horizontal="center"/>
      <protection hidden="1"/>
    </xf>
    <xf numFmtId="165" fontId="44" fillId="13" borderId="59" xfId="0" applyNumberFormat="1" applyFont="1" applyFill="1" applyBorder="1" applyAlignment="1" applyProtection="1">
      <alignment horizontal="right"/>
      <protection hidden="1"/>
    </xf>
    <xf numFmtId="0" fontId="19" fillId="8" borderId="64" xfId="0" applyFont="1" applyFill="1" applyBorder="1" applyAlignment="1" applyProtection="1">
      <alignment horizontal="left"/>
      <protection hidden="1"/>
    </xf>
    <xf numFmtId="0" fontId="55" fillId="8" borderId="8" xfId="0" applyFont="1" applyFill="1" applyBorder="1" applyAlignment="1" applyProtection="1">
      <alignment horizontal="center"/>
      <protection hidden="1"/>
    </xf>
    <xf numFmtId="10" fontId="41" fillId="8" borderId="47" xfId="2" applyNumberFormat="1" applyFont="1" applyFill="1" applyBorder="1" applyProtection="1">
      <protection hidden="1"/>
    </xf>
    <xf numFmtId="0" fontId="19" fillId="7" borderId="34" xfId="0" applyFont="1" applyFill="1" applyBorder="1" applyAlignment="1" applyProtection="1">
      <alignment horizontal="center"/>
      <protection hidden="1"/>
    </xf>
    <xf numFmtId="0" fontId="19" fillId="7" borderId="56" xfId="0" applyFont="1" applyFill="1" applyBorder="1" applyAlignment="1" applyProtection="1">
      <alignment horizontal="left"/>
      <protection hidden="1"/>
    </xf>
    <xf numFmtId="0" fontId="55" fillId="7" borderId="37" xfId="0" applyFont="1" applyFill="1" applyBorder="1" applyAlignment="1" applyProtection="1">
      <alignment horizontal="center"/>
      <protection hidden="1"/>
    </xf>
    <xf numFmtId="0" fontId="0" fillId="0" borderId="38" xfId="0" applyBorder="1" applyProtection="1">
      <protection hidden="1"/>
    </xf>
    <xf numFmtId="165" fontId="41" fillId="7" borderId="39" xfId="0" applyNumberFormat="1" applyFont="1" applyFill="1" applyBorder="1" applyProtection="1">
      <protection hidden="1"/>
    </xf>
    <xf numFmtId="10" fontId="41" fillId="7" borderId="39" xfId="2" applyNumberFormat="1" applyFont="1" applyFill="1" applyBorder="1" applyProtection="1">
      <protection hidden="1"/>
    </xf>
    <xf numFmtId="0" fontId="50" fillId="15" borderId="23" xfId="0" applyFont="1" applyFill="1" applyBorder="1" applyAlignment="1" applyProtection="1">
      <alignment horizontal="center"/>
      <protection hidden="1"/>
    </xf>
    <xf numFmtId="0" fontId="50" fillId="15" borderId="0" xfId="0" applyFont="1" applyFill="1" applyBorder="1" applyAlignment="1" applyProtection="1">
      <alignment horizontal="center"/>
      <protection hidden="1"/>
    </xf>
    <xf numFmtId="0" fontId="50" fillId="15" borderId="21" xfId="0" applyFont="1" applyFill="1" applyBorder="1" applyAlignment="1" applyProtection="1">
      <alignment horizontal="center"/>
      <protection hidden="1"/>
    </xf>
    <xf numFmtId="0" fontId="19" fillId="0" borderId="15" xfId="0" applyFont="1" applyBorder="1" applyAlignment="1">
      <alignment horizontal="center"/>
    </xf>
    <xf numFmtId="166" fontId="0" fillId="0" borderId="15" xfId="1" applyFont="1" applyBorder="1"/>
    <xf numFmtId="174" fontId="0" fillId="0" borderId="15" xfId="1" applyNumberFormat="1" applyFont="1" applyBorder="1"/>
    <xf numFmtId="0" fontId="0" fillId="0" borderId="13" xfId="0" applyBorder="1"/>
    <xf numFmtId="0" fontId="0" fillId="0" borderId="14" xfId="0" applyBorder="1"/>
    <xf numFmtId="0" fontId="0" fillId="0" borderId="12" xfId="0" applyBorder="1"/>
    <xf numFmtId="0" fontId="77" fillId="0" borderId="12" xfId="0" applyFont="1" applyBorder="1" applyProtection="1">
      <protection hidden="1"/>
    </xf>
    <xf numFmtId="0" fontId="48" fillId="0" borderId="13" xfId="0" applyFont="1" applyBorder="1" applyProtection="1">
      <protection hidden="1"/>
    </xf>
    <xf numFmtId="172" fontId="48" fillId="0" borderId="13" xfId="1" applyNumberFormat="1" applyFont="1" applyBorder="1" applyProtection="1">
      <protection hidden="1"/>
    </xf>
    <xf numFmtId="172" fontId="48" fillId="0" borderId="14" xfId="0" applyNumberFormat="1" applyFont="1" applyBorder="1" applyProtection="1">
      <protection hidden="1"/>
    </xf>
    <xf numFmtId="0" fontId="78" fillId="0" borderId="12" xfId="0" applyFont="1" applyBorder="1" applyAlignment="1">
      <alignment horizontal="centerContinuous"/>
    </xf>
    <xf numFmtId="0" fontId="48" fillId="5" borderId="12" xfId="0" applyFont="1" applyFill="1" applyBorder="1" applyProtection="1">
      <protection hidden="1"/>
    </xf>
    <xf numFmtId="0" fontId="79" fillId="0" borderId="13" xfId="0" applyFont="1" applyBorder="1"/>
    <xf numFmtId="0" fontId="79" fillId="0" borderId="14" xfId="0" applyFont="1" applyBorder="1"/>
    <xf numFmtId="0" fontId="60" fillId="15" borderId="23" xfId="0" applyFont="1" applyFill="1" applyBorder="1" applyAlignment="1" applyProtection="1">
      <alignment horizontal="centerContinuous" vertical="center" wrapText="1"/>
      <protection hidden="1"/>
    </xf>
    <xf numFmtId="0" fontId="60" fillId="15" borderId="0" xfId="0" applyFont="1" applyFill="1" applyBorder="1" applyAlignment="1" applyProtection="1">
      <alignment horizontal="centerContinuous" vertical="center" wrapText="1"/>
      <protection hidden="1"/>
    </xf>
    <xf numFmtId="0" fontId="60" fillId="15" borderId="21" xfId="0" applyFont="1" applyFill="1" applyBorder="1" applyAlignment="1" applyProtection="1">
      <alignment horizontal="centerContinuous" vertical="center" wrapText="1"/>
      <protection hidden="1"/>
    </xf>
    <xf numFmtId="0" fontId="17" fillId="15" borderId="56" xfId="0" applyFont="1" applyFill="1" applyBorder="1" applyAlignment="1" applyProtection="1">
      <alignment horizontal="centerContinuous" vertical="center"/>
      <protection hidden="1"/>
    </xf>
    <xf numFmtId="0" fontId="17" fillId="15" borderId="38" xfId="0" applyFont="1" applyFill="1" applyBorder="1" applyAlignment="1" applyProtection="1">
      <alignment horizontal="centerContinuous" vertical="center"/>
      <protection hidden="1"/>
    </xf>
    <xf numFmtId="0" fontId="17" fillId="15" borderId="38" xfId="0" applyFont="1" applyFill="1" applyBorder="1" applyAlignment="1" applyProtection="1">
      <alignment horizontal="centerContinuous"/>
      <protection hidden="1"/>
    </xf>
    <xf numFmtId="0" fontId="16" fillId="15" borderId="42" xfId="0" applyFont="1" applyFill="1" applyBorder="1" applyProtection="1">
      <protection hidden="1"/>
    </xf>
    <xf numFmtId="0" fontId="17" fillId="15" borderId="51" xfId="0" applyFont="1" applyFill="1" applyBorder="1" applyAlignment="1" applyProtection="1">
      <alignment horizontal="centerContinuous"/>
      <protection hidden="1"/>
    </xf>
    <xf numFmtId="0" fontId="46" fillId="15" borderId="51" xfId="0" applyFont="1" applyFill="1" applyBorder="1" applyAlignment="1" applyProtection="1">
      <alignment horizontal="centerContinuous"/>
      <protection hidden="1"/>
    </xf>
    <xf numFmtId="166" fontId="19" fillId="9" borderId="109" xfId="1" applyFont="1" applyFill="1" applyBorder="1" applyProtection="1">
      <protection hidden="1"/>
    </xf>
    <xf numFmtId="0" fontId="19" fillId="0" borderId="53" xfId="0" applyFont="1" applyFill="1" applyBorder="1" applyAlignment="1" applyProtection="1">
      <alignment horizontal="center"/>
      <protection hidden="1"/>
    </xf>
    <xf numFmtId="165" fontId="41" fillId="8" borderId="57" xfId="0" applyNumberFormat="1" applyFont="1" applyFill="1" applyBorder="1" applyProtection="1">
      <protection hidden="1"/>
    </xf>
    <xf numFmtId="0" fontId="72" fillId="0" borderId="96" xfId="0" applyFont="1" applyFill="1" applyBorder="1" applyProtection="1">
      <protection hidden="1"/>
    </xf>
    <xf numFmtId="0" fontId="72" fillId="0" borderId="0" xfId="0" applyFont="1" applyFill="1" applyBorder="1" applyProtection="1">
      <protection hidden="1"/>
    </xf>
    <xf numFmtId="172" fontId="71" fillId="0" borderId="0" xfId="1" applyNumberFormat="1" applyFont="1" applyFill="1" applyBorder="1" applyAlignment="1" applyProtection="1">
      <alignment horizontal="center"/>
      <protection hidden="1"/>
    </xf>
    <xf numFmtId="3" fontId="71" fillId="0" borderId="0" xfId="1" applyNumberFormat="1" applyFont="1" applyFill="1" applyBorder="1" applyAlignment="1" applyProtection="1">
      <alignment horizontal="right"/>
      <protection hidden="1"/>
    </xf>
    <xf numFmtId="179" fontId="71" fillId="0" borderId="97" xfId="1" applyNumberFormat="1" applyFont="1" applyFill="1" applyBorder="1" applyProtection="1">
      <protection locked="0"/>
    </xf>
    <xf numFmtId="172" fontId="80" fillId="0" borderId="0" xfId="1" applyNumberFormat="1" applyFont="1" applyFill="1" applyProtection="1">
      <protection hidden="1"/>
    </xf>
    <xf numFmtId="0" fontId="80" fillId="0" borderId="0" xfId="0" applyFont="1" applyFill="1" applyProtection="1">
      <protection hidden="1"/>
    </xf>
    <xf numFmtId="0" fontId="81" fillId="0" borderId="96" xfId="0" applyFont="1" applyFill="1" applyBorder="1" applyProtection="1">
      <protection hidden="1"/>
    </xf>
    <xf numFmtId="172" fontId="72" fillId="0" borderId="0" xfId="1" applyNumberFormat="1" applyFont="1" applyFill="1" applyBorder="1" applyProtection="1">
      <protection hidden="1"/>
    </xf>
    <xf numFmtId="172" fontId="71" fillId="0" borderId="110" xfId="1" applyNumberFormat="1" applyFont="1" applyFill="1" applyBorder="1" applyProtection="1">
      <protection hidden="1"/>
    </xf>
    <xf numFmtId="0" fontId="82" fillId="0" borderId="96" xfId="0" applyFont="1" applyFill="1" applyBorder="1" applyAlignment="1" applyProtection="1">
      <alignment horizontal="centerContinuous"/>
      <protection hidden="1"/>
    </xf>
    <xf numFmtId="3" fontId="74" fillId="0" borderId="17" xfId="1" applyNumberFormat="1" applyFont="1" applyFill="1" applyBorder="1" applyAlignment="1" applyProtection="1">
      <alignment vertical="center"/>
      <protection locked="0"/>
    </xf>
    <xf numFmtId="10" fontId="69" fillId="0" borderId="0" xfId="0" applyNumberFormat="1" applyFont="1" applyFill="1" applyProtection="1">
      <protection hidden="1"/>
    </xf>
    <xf numFmtId="166" fontId="71" fillId="10" borderId="0" xfId="1" applyNumberFormat="1" applyFont="1" applyFill="1" applyBorder="1" applyAlignment="1" applyProtection="1">
      <alignment vertical="center"/>
      <protection hidden="1"/>
    </xf>
    <xf numFmtId="172" fontId="74" fillId="0" borderId="97" xfId="1" applyNumberFormat="1" applyFont="1" applyFill="1" applyBorder="1" applyAlignment="1" applyProtection="1">
      <alignment vertical="center"/>
      <protection hidden="1"/>
    </xf>
    <xf numFmtId="0" fontId="69" fillId="0" borderId="93" xfId="0" applyFont="1" applyFill="1" applyBorder="1" applyAlignment="1" applyProtection="1">
      <alignment vertical="center"/>
      <protection hidden="1"/>
    </xf>
    <xf numFmtId="10" fontId="69" fillId="0" borderId="94" xfId="2" applyNumberFormat="1" applyFont="1" applyFill="1" applyBorder="1" applyAlignment="1" applyProtection="1">
      <alignment vertical="center"/>
      <protection hidden="1"/>
    </xf>
    <xf numFmtId="0" fontId="69" fillId="0" borderId="94" xfId="0" applyFont="1" applyFill="1" applyBorder="1" applyAlignment="1" applyProtection="1">
      <alignment vertical="center"/>
      <protection hidden="1"/>
    </xf>
    <xf numFmtId="172" fontId="69" fillId="0" borderId="94" xfId="1" applyNumberFormat="1" applyFont="1" applyFill="1" applyBorder="1" applyAlignment="1" applyProtection="1">
      <alignment horizontal="center" vertical="center"/>
      <protection hidden="1"/>
    </xf>
    <xf numFmtId="172" fontId="66" fillId="0" borderId="95" xfId="1" applyNumberFormat="1" applyFont="1" applyFill="1" applyBorder="1" applyAlignment="1" applyProtection="1">
      <alignment vertical="center"/>
      <protection hidden="1"/>
    </xf>
    <xf numFmtId="0" fontId="58" fillId="0" borderId="0" xfId="0" applyFont="1" applyBorder="1" applyAlignment="1" applyProtection="1">
      <alignment horizontal="center"/>
      <protection hidden="1"/>
    </xf>
    <xf numFmtId="0" fontId="19" fillId="5" borderId="23" xfId="0" applyFont="1" applyFill="1" applyBorder="1" applyAlignment="1" applyProtection="1">
      <alignment horizontal="center" vertical="center"/>
      <protection hidden="1"/>
    </xf>
    <xf numFmtId="37" fontId="48" fillId="7" borderId="31" xfId="0" applyNumberFormat="1" applyFont="1" applyFill="1" applyBorder="1" applyAlignment="1" applyProtection="1">
      <alignment vertical="center"/>
      <protection locked="0"/>
    </xf>
    <xf numFmtId="174" fontId="0" fillId="0" borderId="0" xfId="1" applyNumberFormat="1" applyFont="1" applyFill="1" applyProtection="1">
      <protection hidden="1"/>
    </xf>
    <xf numFmtId="174" fontId="0" fillId="0" borderId="0" xfId="0" applyNumberFormat="1" applyFill="1" applyProtection="1">
      <protection hidden="1"/>
    </xf>
    <xf numFmtId="0" fontId="0" fillId="0" borderId="15" xfId="0" applyBorder="1"/>
    <xf numFmtId="0" fontId="48" fillId="0" borderId="15" xfId="0" applyFont="1" applyBorder="1" applyAlignment="1">
      <alignment horizontal="center" vertical="center" wrapText="1"/>
    </xf>
    <xf numFmtId="2" fontId="41" fillId="8" borderId="57" xfId="1" applyNumberFormat="1" applyFont="1" applyFill="1" applyBorder="1" applyAlignment="1" applyProtection="1">
      <alignment horizontal="center"/>
      <protection hidden="1"/>
    </xf>
    <xf numFmtId="39" fontId="2" fillId="0" borderId="0" xfId="0" applyNumberFormat="1" applyFont="1" applyFill="1"/>
    <xf numFmtId="37" fontId="0" fillId="0" borderId="27" xfId="0" applyNumberFormat="1" applyFill="1" applyBorder="1" applyProtection="1">
      <protection hidden="1"/>
    </xf>
    <xf numFmtId="0" fontId="48" fillId="7" borderId="9" xfId="0" applyFont="1" applyFill="1" applyBorder="1" applyAlignment="1" applyProtection="1">
      <alignment horizontal="center"/>
      <protection locked="0"/>
    </xf>
    <xf numFmtId="168" fontId="19" fillId="5" borderId="9" xfId="2" applyNumberFormat="1" applyFont="1" applyFill="1" applyBorder="1" applyProtection="1">
      <protection hidden="1"/>
    </xf>
    <xf numFmtId="0" fontId="79" fillId="0" borderId="0" xfId="0" applyFont="1" applyProtection="1">
      <protection hidden="1"/>
    </xf>
    <xf numFmtId="0" fontId="83" fillId="0" borderId="0" xfId="0" applyFont="1"/>
    <xf numFmtId="0" fontId="0" fillId="0" borderId="0" xfId="0" applyFill="1" applyBorder="1" applyAlignment="1" applyProtection="1">
      <alignment horizontal="left"/>
      <protection hidden="1"/>
    </xf>
    <xf numFmtId="172" fontId="0" fillId="0" borderId="0" xfId="0" applyNumberFormat="1" applyFill="1" applyBorder="1" applyAlignment="1" applyProtection="1">
      <alignment horizontal="left"/>
      <protection hidden="1"/>
    </xf>
    <xf numFmtId="170" fontId="15" fillId="0" borderId="0" xfId="1" applyNumberFormat="1" applyFont="1" applyFill="1" applyBorder="1" applyProtection="1">
      <protection hidden="1"/>
    </xf>
    <xf numFmtId="169" fontId="1" fillId="0" borderId="0" xfId="0" applyNumberFormat="1" applyFont="1" applyFill="1" applyBorder="1" applyProtection="1">
      <protection hidden="1"/>
    </xf>
    <xf numFmtId="169" fontId="1" fillId="0" borderId="0" xfId="2" applyNumberFormat="1" applyFont="1" applyFill="1" applyBorder="1" applyProtection="1">
      <protection hidden="1"/>
    </xf>
    <xf numFmtId="0" fontId="0" fillId="0" borderId="0" xfId="0" applyFill="1"/>
    <xf numFmtId="172" fontId="3" fillId="0" borderId="0" xfId="1" applyNumberFormat="1" applyFont="1" applyFill="1" applyProtection="1">
      <protection hidden="1"/>
    </xf>
    <xf numFmtId="0" fontId="0" fillId="0" borderId="23" xfId="0" applyFill="1" applyBorder="1" applyAlignment="1" applyProtection="1">
      <alignment horizontal="justify" vertical="center" wrapText="1"/>
      <protection hidden="1"/>
    </xf>
    <xf numFmtId="0" fontId="0" fillId="0" borderId="3" xfId="0" applyFill="1" applyBorder="1" applyAlignment="1">
      <alignment horizontal="justify" vertical="center" wrapText="1"/>
    </xf>
    <xf numFmtId="0" fontId="19" fillId="5" borderId="56" xfId="0" applyFont="1" applyFill="1" applyBorder="1" applyAlignment="1" applyProtection="1">
      <alignment horizontal="center" vertical="center" wrapText="1"/>
      <protection hidden="1"/>
    </xf>
    <xf numFmtId="0" fontId="19" fillId="5" borderId="51" xfId="0" applyFont="1" applyFill="1" applyBorder="1" applyAlignment="1" applyProtection="1">
      <alignment horizontal="center" vertical="center" wrapText="1"/>
      <protection hidden="1"/>
    </xf>
    <xf numFmtId="174" fontId="49" fillId="8" borderId="45" xfId="1" applyNumberFormat="1" applyFont="1" applyFill="1" applyBorder="1" applyAlignment="1" applyProtection="1">
      <alignment horizontal="center" vertical="center"/>
      <protection locked="0"/>
    </xf>
    <xf numFmtId="0" fontId="0" fillId="0" borderId="13" xfId="0" applyBorder="1" applyAlignment="1">
      <alignment horizontal="center" vertical="center"/>
    </xf>
    <xf numFmtId="0" fontId="0" fillId="0" borderId="46" xfId="0" applyBorder="1" applyAlignment="1">
      <alignment horizontal="center" vertical="center"/>
    </xf>
    <xf numFmtId="0" fontId="60" fillId="15" borderId="60" xfId="0" applyFont="1" applyFill="1" applyBorder="1" applyAlignment="1" applyProtection="1">
      <alignment horizontal="center" vertical="center" wrapText="1"/>
      <protection hidden="1"/>
    </xf>
    <xf numFmtId="0" fontId="60" fillId="15" borderId="17" xfId="0" applyFont="1" applyFill="1" applyBorder="1" applyAlignment="1" applyProtection="1">
      <alignment horizontal="center" vertical="center" wrapText="1"/>
      <protection hidden="1"/>
    </xf>
    <xf numFmtId="0" fontId="50" fillId="15" borderId="23" xfId="0" applyFont="1" applyFill="1" applyBorder="1" applyAlignment="1" applyProtection="1">
      <alignment horizontal="center"/>
      <protection hidden="1"/>
    </xf>
    <xf numFmtId="0" fontId="50" fillId="15" borderId="0" xfId="0" applyFont="1" applyFill="1" applyBorder="1" applyAlignment="1" applyProtection="1">
      <alignment horizontal="center"/>
      <protection hidden="1"/>
    </xf>
    <xf numFmtId="0" fontId="0" fillId="0" borderId="53" xfId="0" applyBorder="1" applyAlignment="1" applyProtection="1">
      <alignment horizontal="center"/>
      <protection hidden="1"/>
    </xf>
    <xf numFmtId="0" fontId="0" fillId="0" borderId="42" xfId="0" applyBorder="1" applyAlignment="1" applyProtection="1">
      <alignment horizontal="center"/>
      <protection hidden="1"/>
    </xf>
    <xf numFmtId="0" fontId="60" fillId="15" borderId="49" xfId="0" applyFont="1" applyFill="1" applyBorder="1" applyAlignment="1" applyProtection="1">
      <alignment horizontal="center" vertical="center" wrapText="1"/>
      <protection hidden="1"/>
    </xf>
    <xf numFmtId="0" fontId="50" fillId="15" borderId="21" xfId="0" applyFont="1" applyFill="1" applyBorder="1" applyAlignment="1" applyProtection="1">
      <alignment horizontal="center"/>
      <protection hidden="1"/>
    </xf>
    <xf numFmtId="0" fontId="0" fillId="0" borderId="23" xfId="0" applyBorder="1" applyAlignment="1" applyProtection="1">
      <alignment horizontal="center"/>
      <protection hidden="1"/>
    </xf>
    <xf numFmtId="0" fontId="0" fillId="0" borderId="0" xfId="0" applyBorder="1" applyAlignment="1" applyProtection="1">
      <alignment horizontal="center"/>
      <protection hidden="1"/>
    </xf>
    <xf numFmtId="0" fontId="0" fillId="0" borderId="21" xfId="0" applyBorder="1" applyAlignment="1" applyProtection="1">
      <alignment horizontal="center"/>
      <protection hidden="1"/>
    </xf>
    <xf numFmtId="0" fontId="0" fillId="0" borderId="50" xfId="0" applyBorder="1" applyAlignment="1" applyProtection="1">
      <alignment horizontal="center"/>
      <protection hidden="1"/>
    </xf>
    <xf numFmtId="0" fontId="3" fillId="2" borderId="9" xfId="0" applyFont="1" applyFill="1" applyBorder="1" applyAlignment="1" applyProtection="1">
      <alignment horizontal="center" vertical="center" wrapText="1"/>
      <protection hidden="1"/>
    </xf>
    <xf numFmtId="0" fontId="0" fillId="0" borderId="4" xfId="0" applyBorder="1" applyAlignment="1" applyProtection="1">
      <alignment wrapText="1"/>
      <protection hidden="1"/>
    </xf>
    <xf numFmtId="0" fontId="48" fillId="0" borderId="15" xfId="0" applyFont="1" applyBorder="1" applyAlignment="1">
      <alignment horizontal="center" vertical="center" wrapText="1"/>
    </xf>
    <xf numFmtId="0" fontId="82" fillId="0" borderId="93" xfId="0" applyFont="1" applyFill="1" applyBorder="1" applyAlignment="1" applyProtection="1">
      <alignment horizontal="center" vertical="center"/>
      <protection hidden="1"/>
    </xf>
    <xf numFmtId="0" fontId="0" fillId="0" borderId="94" xfId="0" applyBorder="1" applyAlignment="1">
      <alignment horizontal="center" vertical="center"/>
    </xf>
    <xf numFmtId="0" fontId="0" fillId="0" borderId="95" xfId="0" applyBorder="1" applyAlignment="1">
      <alignment horizontal="center" vertical="center"/>
    </xf>
    <xf numFmtId="0" fontId="61" fillId="0" borderId="0" xfId="0" applyFont="1" applyAlignment="1" applyProtection="1">
      <alignment horizontal="center" vertical="center" wrapText="1"/>
      <protection hidden="1"/>
    </xf>
    <xf numFmtId="0" fontId="0" fillId="0" borderId="0" xfId="0" applyAlignment="1">
      <alignment horizontal="center" vertical="center" wrapText="1"/>
    </xf>
    <xf numFmtId="0" fontId="43" fillId="5" borderId="1" xfId="0" applyFont="1" applyFill="1" applyBorder="1" applyAlignment="1" applyProtection="1">
      <alignment horizontal="center" vertical="center" textRotation="90" wrapText="1"/>
      <protection hidden="1"/>
    </xf>
    <xf numFmtId="0" fontId="0" fillId="0" borderId="1" xfId="0" applyBorder="1" applyAlignment="1">
      <alignment horizontal="center" vertical="center" textRotation="90" wrapText="1"/>
    </xf>
    <xf numFmtId="0" fontId="0" fillId="0" borderId="4" xfId="0" applyBorder="1" applyAlignment="1">
      <alignment horizontal="center" vertical="center" textRotation="90" wrapText="1"/>
    </xf>
    <xf numFmtId="0" fontId="19" fillId="3" borderId="1" xfId="0" applyFont="1" applyFill="1" applyBorder="1" applyAlignment="1" applyProtection="1">
      <alignment horizontal="center" vertical="center" textRotation="90" wrapText="1"/>
      <protection hidden="1"/>
    </xf>
    <xf numFmtId="37" fontId="36" fillId="5" borderId="12" xfId="0" applyNumberFormat="1" applyFont="1" applyFill="1" applyBorder="1" applyAlignment="1" applyProtection="1">
      <protection hidden="1"/>
    </xf>
    <xf numFmtId="0" fontId="0" fillId="0" borderId="13" xfId="0" applyBorder="1" applyAlignment="1"/>
    <xf numFmtId="0" fontId="0" fillId="0" borderId="14" xfId="0" applyBorder="1" applyAlignment="1"/>
    <xf numFmtId="0" fontId="42" fillId="5" borderId="25" xfId="0" applyFont="1" applyFill="1" applyBorder="1" applyAlignment="1" applyProtection="1">
      <alignment horizontal="center" vertical="center" wrapText="1"/>
      <protection hidden="1"/>
    </xf>
    <xf numFmtId="0" fontId="0" fillId="2" borderId="9" xfId="0" applyFill="1" applyBorder="1" applyAlignment="1" applyProtection="1">
      <alignment horizontal="center" vertical="center"/>
      <protection hidden="1"/>
    </xf>
    <xf numFmtId="0" fontId="0" fillId="2" borderId="4" xfId="0" applyFill="1" applyBorder="1" applyAlignment="1" applyProtection="1">
      <alignment horizontal="center" vertical="center"/>
      <protection hidden="1"/>
    </xf>
    <xf numFmtId="172" fontId="15" fillId="2" borderId="9" xfId="1" applyNumberFormat="1" applyFont="1" applyFill="1" applyBorder="1" applyAlignment="1" applyProtection="1">
      <alignment horizontal="center" vertical="center"/>
      <protection hidden="1"/>
    </xf>
    <xf numFmtId="172" fontId="15" fillId="2" borderId="4" xfId="1" applyNumberFormat="1" applyFont="1" applyFill="1" applyBorder="1" applyAlignment="1" applyProtection="1">
      <alignment horizontal="center" vertical="center"/>
      <protection hidden="1"/>
    </xf>
    <xf numFmtId="0" fontId="20" fillId="0" borderId="0" xfId="0" applyFont="1" applyAlignment="1">
      <alignment horizontal="center" wrapText="1"/>
    </xf>
    <xf numFmtId="0" fontId="20" fillId="0" borderId="0" xfId="0" applyFont="1" applyAlignment="1">
      <alignment horizontal="center"/>
    </xf>
    <xf numFmtId="0" fontId="19" fillId="5" borderId="9" xfId="0" applyFont="1" applyFill="1" applyBorder="1" applyAlignment="1">
      <alignment horizontal="center" vertical="center"/>
    </xf>
    <xf numFmtId="0" fontId="19" fillId="5" borderId="1"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2" xfId="0" applyFont="1" applyFill="1" applyBorder="1" applyAlignment="1">
      <alignment horizontal="center" vertical="center"/>
    </xf>
    <xf numFmtId="0" fontId="19" fillId="5" borderId="10" xfId="0" applyFont="1" applyFill="1" applyBorder="1" applyAlignment="1">
      <alignment horizontal="center" vertical="center"/>
    </xf>
    <xf numFmtId="2" fontId="19" fillId="5" borderId="10" xfId="0" applyNumberFormat="1" applyFont="1" applyFill="1" applyBorder="1" applyAlignment="1">
      <alignment horizontal="center" wrapText="1"/>
    </xf>
    <xf numFmtId="2" fontId="19" fillId="5" borderId="11" xfId="0" applyNumberFormat="1" applyFont="1" applyFill="1" applyBorder="1" applyAlignment="1">
      <alignment horizontal="center" wrapText="1"/>
    </xf>
    <xf numFmtId="0" fontId="19" fillId="5" borderId="12" xfId="0" applyFont="1" applyFill="1" applyBorder="1" applyAlignment="1">
      <alignment horizontal="center" wrapText="1"/>
    </xf>
    <xf numFmtId="0" fontId="0" fillId="5" borderId="13" xfId="0" applyFill="1" applyBorder="1" applyAlignment="1">
      <alignment horizontal="center" wrapText="1"/>
    </xf>
    <xf numFmtId="0" fontId="0" fillId="5" borderId="14" xfId="0" applyFill="1" applyBorder="1" applyAlignment="1">
      <alignment horizontal="center" wrapText="1"/>
    </xf>
    <xf numFmtId="0" fontId="19" fillId="5" borderId="10"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14" xfId="0" applyFont="1" applyFill="1" applyBorder="1" applyAlignment="1">
      <alignment horizontal="center" vertical="center" wrapText="1"/>
    </xf>
    <xf numFmtId="2" fontId="19" fillId="5" borderId="2" xfId="0" applyNumberFormat="1" applyFont="1" applyFill="1" applyBorder="1" applyAlignment="1">
      <alignment horizontal="center" wrapText="1"/>
    </xf>
    <xf numFmtId="2" fontId="19" fillId="5" borderId="0" xfId="0" applyNumberFormat="1" applyFont="1" applyFill="1" applyBorder="1" applyAlignment="1">
      <alignment horizontal="center" wrapText="1"/>
    </xf>
    <xf numFmtId="0" fontId="19" fillId="5" borderId="0" xfId="0" applyFont="1" applyFill="1" applyAlignment="1">
      <alignment horizontal="center" wrapText="1"/>
    </xf>
    <xf numFmtId="0" fontId="19" fillId="5" borderId="0" xfId="0" applyFont="1" applyFill="1" applyAlignment="1">
      <alignment horizontal="center"/>
    </xf>
    <xf numFmtId="0" fontId="19" fillId="5" borderId="12" xfId="0" applyFont="1" applyFill="1" applyBorder="1" applyAlignment="1">
      <alignment horizontal="center"/>
    </xf>
    <xf numFmtId="0" fontId="19" fillId="5" borderId="13" xfId="0" applyFont="1" applyFill="1" applyBorder="1" applyAlignment="1">
      <alignment horizontal="center"/>
    </xf>
    <xf numFmtId="0" fontId="19" fillId="5" borderId="14" xfId="0" applyFont="1" applyFill="1" applyBorder="1" applyAlignment="1">
      <alignment horizontal="center"/>
    </xf>
    <xf numFmtId="2" fontId="19" fillId="5" borderId="12" xfId="0" applyNumberFormat="1" applyFont="1" applyFill="1" applyBorder="1" applyAlignment="1">
      <alignment horizontal="center" wrapText="1"/>
    </xf>
    <xf numFmtId="2" fontId="19" fillId="5" borderId="13" xfId="0" applyNumberFormat="1" applyFont="1" applyFill="1" applyBorder="1" applyAlignment="1">
      <alignment horizontal="center" wrapText="1"/>
    </xf>
    <xf numFmtId="2" fontId="19" fillId="5" borderId="14" xfId="0" applyNumberFormat="1" applyFont="1" applyFill="1" applyBorder="1" applyAlignment="1">
      <alignment horizontal="center" wrapText="1"/>
    </xf>
    <xf numFmtId="0" fontId="19" fillId="0" borderId="0" xfId="0" applyFont="1" applyAlignment="1">
      <alignment horizontal="center" wrapText="1"/>
    </xf>
    <xf numFmtId="0" fontId="19" fillId="0" borderId="0" xfId="0" applyFont="1" applyAlignment="1">
      <alignment horizontal="center"/>
    </xf>
    <xf numFmtId="0" fontId="0" fillId="0" borderId="0" xfId="0" applyFont="1" applyAlignment="1">
      <alignment horizontal="center"/>
    </xf>
    <xf numFmtId="0" fontId="0" fillId="5" borderId="13" xfId="0" applyFont="1" applyFill="1" applyBorder="1" applyAlignment="1">
      <alignment horizontal="center" wrapText="1"/>
    </xf>
    <xf numFmtId="0" fontId="0" fillId="5" borderId="14" xfId="0" applyFont="1" applyFill="1" applyBorder="1" applyAlignment="1">
      <alignment horizontal="center" wrapText="1"/>
    </xf>
  </cellXfs>
  <cellStyles count="5">
    <cellStyle name="Hipervínculo" xfId="4" builtinId="8"/>
    <cellStyle name="Millares" xfId="1" builtinId="3"/>
    <cellStyle name="Normal" xfId="0" builtinId="0"/>
    <cellStyle name="Normal 2" xfId="3"/>
    <cellStyle name="Porcentaje" xfId="2" builtinId="5"/>
  </cellStyles>
  <dxfs count="70">
    <dxf>
      <font>
        <color theme="0"/>
      </font>
      <fill>
        <patternFill>
          <bgColor rgb="FFFF0000"/>
        </patternFill>
      </fill>
    </dxf>
    <dxf>
      <font>
        <color theme="0"/>
      </font>
      <fill>
        <patternFill>
          <bgColor rgb="FFFF0000"/>
        </patternFill>
      </fill>
    </dxf>
    <dxf>
      <font>
        <color rgb="FFFFFF00"/>
      </font>
      <fill>
        <patternFill>
          <bgColor rgb="FF92D050"/>
        </patternFill>
      </fill>
    </dxf>
    <dxf>
      <font>
        <color rgb="FFFFFF00"/>
      </font>
      <fill>
        <patternFill>
          <bgColor rgb="FF92D050"/>
        </patternFill>
      </fill>
    </dxf>
    <dxf>
      <fill>
        <patternFill>
          <bgColor rgb="FF00B050"/>
        </patternFill>
      </fill>
    </dxf>
    <dxf>
      <font>
        <color theme="0"/>
      </font>
      <fill>
        <patternFill>
          <bgColor rgb="FFFF0000"/>
        </patternFill>
      </fill>
    </dxf>
    <dxf>
      <font>
        <color theme="0"/>
      </font>
      <fill>
        <patternFill>
          <bgColor rgb="FFFF0000"/>
        </patternFill>
      </fill>
    </dxf>
    <dxf>
      <fill>
        <patternFill>
          <bgColor rgb="FFFFFF00"/>
        </patternFill>
      </fill>
    </dxf>
    <dxf>
      <font>
        <b/>
        <i val="0"/>
        <color rgb="FFFFFF00"/>
      </font>
      <fill>
        <patternFill>
          <bgColor rgb="FF00B050"/>
        </patternFill>
      </fill>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1"/>
        <color auto="1"/>
        <name val="Verdana"/>
        <scheme val="none"/>
      </font>
      <numFmt numFmtId="172" formatCode="_ * #,##0_ ;_ * \-#,##0_ ;_ * &quot;-&quot;??_ ;_ @_ "/>
      <fill>
        <patternFill patternType="solid">
          <fgColor indexed="64"/>
          <bgColor indexed="22"/>
        </patternFill>
      </fill>
      <protection locked="1" hidden="1"/>
    </dxf>
    <dxf>
      <font>
        <b val="0"/>
        <i val="0"/>
        <strike val="0"/>
        <condense val="0"/>
        <extend val="0"/>
        <outline val="0"/>
        <shadow val="0"/>
        <u val="none"/>
        <vertAlign val="baseline"/>
        <sz val="11"/>
        <color auto="1"/>
        <name val="Verdana"/>
        <scheme val="none"/>
      </font>
      <numFmt numFmtId="172"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11"/>
        <color auto="1"/>
        <name val="Verdana"/>
        <scheme val="none"/>
      </font>
      <numFmt numFmtId="172"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11"/>
        <color auto="1"/>
        <name val="Verdana"/>
        <scheme val="none"/>
      </font>
      <numFmt numFmtId="172" formatCode="_ * #,##0_ ;_ * \-#,##0_ ;_ * &quot;-&quot;??_ ;_ @_ "/>
      <fill>
        <patternFill patternType="none">
          <fgColor indexed="64"/>
          <bgColor indexed="65"/>
        </patternFill>
      </fill>
      <protection locked="1" hidden="1"/>
    </dxf>
    <dxf>
      <font>
        <b val="0"/>
        <i val="0"/>
        <strike val="0"/>
        <condense val="0"/>
        <extend val="0"/>
        <outline val="0"/>
        <shadow val="0"/>
        <u val="none"/>
        <vertAlign val="baseline"/>
        <sz val="11"/>
        <color auto="1"/>
        <name val="Verdana"/>
        <scheme val="none"/>
      </font>
      <fill>
        <patternFill patternType="none">
          <fgColor indexed="64"/>
          <bgColor indexed="65"/>
        </patternFill>
      </fill>
      <protection locked="1" hidden="1"/>
    </dxf>
    <dxf>
      <font>
        <b val="0"/>
        <i val="0"/>
        <strike val="0"/>
        <condense val="0"/>
        <extend val="0"/>
        <outline val="0"/>
        <shadow val="0"/>
        <u val="none"/>
        <vertAlign val="baseline"/>
        <sz val="11"/>
        <color auto="1"/>
        <name val="Verdana"/>
        <scheme val="none"/>
      </font>
      <numFmt numFmtId="14" formatCode="0.00%"/>
      <fill>
        <patternFill patternType="none">
          <fgColor indexed="64"/>
          <bgColor indexed="65"/>
        </patternFill>
      </fill>
      <protection locked="1" hidden="1"/>
    </dxf>
    <dxf>
      <font>
        <b val="0"/>
        <i val="0"/>
        <strike val="0"/>
        <condense val="0"/>
        <extend val="0"/>
        <outline val="0"/>
        <shadow val="0"/>
        <u val="none"/>
        <vertAlign val="baseline"/>
        <sz val="11"/>
        <color auto="1"/>
        <name val="Verdana"/>
        <scheme val="none"/>
      </font>
      <fill>
        <patternFill patternType="none">
          <fgColor indexed="64"/>
          <bgColor indexed="65"/>
        </patternFill>
      </fill>
      <protection locked="1" hidden="1"/>
    </dxf>
    <dxf>
      <border outline="0">
        <bottom style="medium">
          <color indexed="64"/>
        </bottom>
      </border>
    </dxf>
    <dxf>
      <font>
        <b val="0"/>
        <i val="0"/>
        <strike val="0"/>
        <condense val="0"/>
        <extend val="0"/>
        <outline val="0"/>
        <shadow val="0"/>
        <u val="none"/>
        <vertAlign val="baseline"/>
        <sz val="11"/>
        <color auto="1"/>
        <name val="Verdana"/>
        <scheme val="none"/>
      </font>
      <fill>
        <patternFill patternType="none">
          <fgColor indexed="64"/>
          <bgColor indexed="65"/>
        </patternFill>
      </fill>
      <protection locked="1" hidden="1"/>
    </dxf>
    <dxf>
      <font>
        <b/>
        <i val="0"/>
        <strike val="0"/>
        <condense val="0"/>
        <extend val="0"/>
        <outline val="0"/>
        <shadow val="0"/>
        <u val="none"/>
        <vertAlign val="baseline"/>
        <sz val="11"/>
        <color auto="1"/>
        <name val="Verdana"/>
        <scheme val="none"/>
      </font>
      <numFmt numFmtId="172" formatCode="_ * #,##0_ ;_ * \-#,##0_ ;_ * &quot;-&quot;??_ ;_ @_ "/>
      <fill>
        <patternFill patternType="none">
          <fgColor indexed="64"/>
          <bgColor indexed="65"/>
        </patternFill>
      </fill>
      <alignment horizontal="centerContinuous" vertical="center" textRotation="0" wrapText="0" indent="0" justifyLastLine="0" shrinkToFit="0" readingOrder="0"/>
      <protection locked="1" hidden="1"/>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FF0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FF0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FF0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FF0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FF0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rgb="FFFFFF00"/>
      </font>
      <fill>
        <patternFill>
          <bgColor rgb="FF00B050"/>
        </patternFill>
      </fill>
    </dxf>
    <dxf>
      <font>
        <b/>
        <i val="0"/>
        <color theme="0"/>
      </font>
      <fill>
        <patternFill>
          <bgColor rgb="FFFF0000"/>
        </patternFill>
      </fill>
    </dxf>
  </dxfs>
  <tableStyles count="0" defaultTableStyle="TableStyleMedium2" defaultPivotStyle="PivotStyleLight16"/>
  <colors>
    <mruColors>
      <color rgb="FF0033CC"/>
      <color rgb="FF00FF00"/>
      <color rgb="FF0066CC"/>
      <color rgb="FF009E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7.emf"/></Relationships>
</file>

<file path=xl/drawings/_rels/drawing3.xml.rels><?xml version="1.0" encoding="UTF-8" standalone="yes"?>
<Relationships xmlns="http://schemas.openxmlformats.org/package/2006/relationships"><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_rels/drawing6.xml.rels><?xml version="1.0" encoding="UTF-8" standalone="yes"?>
<Relationships xmlns="http://schemas.openxmlformats.org/package/2006/relationships"><Relationship Id="rId1" Type="http://schemas.openxmlformats.org/officeDocument/2006/relationships/image" Target="../media/image7.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9.emf"/></Relationships>
</file>

<file path=xl/drawings/_rels/drawing9.xml.rels><?xml version="1.0" encoding="UTF-8" standalone="yes"?>
<Relationships xmlns="http://schemas.openxmlformats.org/package/2006/relationships"><Relationship Id="rId1" Type="http://schemas.openxmlformats.org/officeDocument/2006/relationships/image" Target="../media/image1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742950</xdr:colOff>
      <xdr:row>44</xdr:row>
      <xdr:rowOff>9525</xdr:rowOff>
    </xdr:to>
    <xdr:pic>
      <xdr:nvPicPr>
        <xdr:cNvPr id="35" name="Imagen 3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775" y="85725"/>
          <a:ext cx="5619750" cy="8201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6</xdr:col>
      <xdr:colOff>742950</xdr:colOff>
      <xdr:row>89</xdr:row>
      <xdr:rowOff>180975</xdr:rowOff>
    </xdr:to>
    <xdr:pic>
      <xdr:nvPicPr>
        <xdr:cNvPr id="36" name="Imagen 3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775" y="8848725"/>
          <a:ext cx="5619750" cy="8181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94</xdr:row>
      <xdr:rowOff>0</xdr:rowOff>
    </xdr:from>
    <xdr:to>
      <xdr:col>6</xdr:col>
      <xdr:colOff>742950</xdr:colOff>
      <xdr:row>136</xdr:row>
      <xdr:rowOff>123825</xdr:rowOff>
    </xdr:to>
    <xdr:pic>
      <xdr:nvPicPr>
        <xdr:cNvPr id="37" name="Imagen 36"/>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4775" y="17802225"/>
          <a:ext cx="5619750" cy="812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141</xdr:row>
      <xdr:rowOff>0</xdr:rowOff>
    </xdr:from>
    <xdr:to>
      <xdr:col>6</xdr:col>
      <xdr:colOff>742950</xdr:colOff>
      <xdr:row>184</xdr:row>
      <xdr:rowOff>38100</xdr:rowOff>
    </xdr:to>
    <xdr:pic>
      <xdr:nvPicPr>
        <xdr:cNvPr id="38" name="Imagen 3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4775" y="26755725"/>
          <a:ext cx="5619750" cy="822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188</xdr:row>
      <xdr:rowOff>0</xdr:rowOff>
    </xdr:from>
    <xdr:to>
      <xdr:col>6</xdr:col>
      <xdr:colOff>742950</xdr:colOff>
      <xdr:row>229</xdr:row>
      <xdr:rowOff>171450</xdr:rowOff>
    </xdr:to>
    <xdr:pic>
      <xdr:nvPicPr>
        <xdr:cNvPr id="39" name="Imagen 38"/>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4775" y="35709225"/>
          <a:ext cx="5619750" cy="798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235</xdr:row>
      <xdr:rowOff>0</xdr:rowOff>
    </xdr:from>
    <xdr:to>
      <xdr:col>6</xdr:col>
      <xdr:colOff>742950</xdr:colOff>
      <xdr:row>269</xdr:row>
      <xdr:rowOff>0</xdr:rowOff>
    </xdr:to>
    <xdr:pic>
      <xdr:nvPicPr>
        <xdr:cNvPr id="40" name="Imagen 39"/>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4775" y="44662725"/>
          <a:ext cx="5619750" cy="647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190500</xdr:colOff>
      <xdr:row>270</xdr:row>
      <xdr:rowOff>143589</xdr:rowOff>
    </xdr:from>
    <xdr:to>
      <xdr:col>7</xdr:col>
      <xdr:colOff>166687</xdr:colOff>
      <xdr:row>276</xdr:row>
      <xdr:rowOff>127396</xdr:rowOff>
    </xdr:to>
    <xdr:pic>
      <xdr:nvPicPr>
        <xdr:cNvPr id="9" name="Imagen 8"/>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97656" y="51471433"/>
          <a:ext cx="5613797" cy="1126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476250</xdr:colOff>
      <xdr:row>66</xdr:row>
      <xdr:rowOff>180975</xdr:rowOff>
    </xdr:from>
    <xdr:to>
      <xdr:col>8</xdr:col>
      <xdr:colOff>76200</xdr:colOff>
      <xdr:row>78</xdr:row>
      <xdr:rowOff>114300</xdr:rowOff>
    </xdr:to>
    <xdr:pic>
      <xdr:nvPicPr>
        <xdr:cNvPr id="4785" name="1 Imagen" descr="http://uploadgerencie.com/medios/tarifa-renta.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1323975"/>
          <a:ext cx="5286375" cy="2219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64</xdr:row>
      <xdr:rowOff>0</xdr:rowOff>
    </xdr:from>
    <xdr:to>
      <xdr:col>3</xdr:col>
      <xdr:colOff>571500</xdr:colOff>
      <xdr:row>89</xdr:row>
      <xdr:rowOff>123825</xdr:rowOff>
    </xdr:to>
    <xdr:pic>
      <xdr:nvPicPr>
        <xdr:cNvPr id="7827" name="1 Imagen" descr="http://uploadgerencie.com/medios/tarifa-renta.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324475" cy="2219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62</xdr:row>
      <xdr:rowOff>0</xdr:rowOff>
    </xdr:from>
    <xdr:to>
      <xdr:col>3</xdr:col>
      <xdr:colOff>466725</xdr:colOff>
      <xdr:row>87</xdr:row>
      <xdr:rowOff>123825</xdr:rowOff>
    </xdr:to>
    <xdr:pic>
      <xdr:nvPicPr>
        <xdr:cNvPr id="6803" name="1 Imagen" descr="http://uploadgerencie.com/medios/tarifa-renta.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334000" cy="2219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62</xdr:row>
      <xdr:rowOff>0</xdr:rowOff>
    </xdr:from>
    <xdr:to>
      <xdr:col>5</xdr:col>
      <xdr:colOff>209550</xdr:colOff>
      <xdr:row>88</xdr:row>
      <xdr:rowOff>123825</xdr:rowOff>
    </xdr:to>
    <xdr:pic>
      <xdr:nvPicPr>
        <xdr:cNvPr id="5779" name="1 Imagen" descr="http://uploadgerencie.com/medios/tarifa-renta.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324475" cy="2219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61</xdr:row>
      <xdr:rowOff>0</xdr:rowOff>
    </xdr:from>
    <xdr:to>
      <xdr:col>3</xdr:col>
      <xdr:colOff>809625</xdr:colOff>
      <xdr:row>87</xdr:row>
      <xdr:rowOff>123825</xdr:rowOff>
    </xdr:to>
    <xdr:pic>
      <xdr:nvPicPr>
        <xdr:cNvPr id="8851" name="1 Imagen" descr="http://uploadgerencie.com/medios/tarifa-renta.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343525" cy="2219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413162</xdr:colOff>
      <xdr:row>0</xdr:row>
      <xdr:rowOff>103188</xdr:rowOff>
    </xdr:from>
    <xdr:to>
      <xdr:col>6</xdr:col>
      <xdr:colOff>664603</xdr:colOff>
      <xdr:row>8</xdr:row>
      <xdr:rowOff>87313</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037" y="103188"/>
          <a:ext cx="7315816" cy="146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914400</xdr:colOff>
      <xdr:row>2</xdr:row>
      <xdr:rowOff>9525</xdr:rowOff>
    </xdr:from>
    <xdr:to>
      <xdr:col>0</xdr:col>
      <xdr:colOff>3076575</xdr:colOff>
      <xdr:row>5</xdr:row>
      <xdr:rowOff>142875</xdr:rowOff>
    </xdr:to>
    <xdr:pic>
      <xdr:nvPicPr>
        <xdr:cNvPr id="1543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400050"/>
          <a:ext cx="21621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914400</xdr:colOff>
      <xdr:row>2</xdr:row>
      <xdr:rowOff>9525</xdr:rowOff>
    </xdr:from>
    <xdr:to>
      <xdr:col>0</xdr:col>
      <xdr:colOff>3076575</xdr:colOff>
      <xdr:row>5</xdr:row>
      <xdr:rowOff>142875</xdr:rowOff>
    </xdr:to>
    <xdr:pic>
      <xdr:nvPicPr>
        <xdr:cNvPr id="17448"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 y="400050"/>
          <a:ext cx="21621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166687</xdr:colOff>
      <xdr:row>0</xdr:row>
      <xdr:rowOff>71437</xdr:rowOff>
    </xdr:from>
    <xdr:to>
      <xdr:col>6</xdr:col>
      <xdr:colOff>410190</xdr:colOff>
      <xdr:row>7</xdr:row>
      <xdr:rowOff>150812</xdr:rowOff>
    </xdr:to>
    <xdr:pic>
      <xdr:nvPicPr>
        <xdr:cNvPr id="5"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812" y="71437"/>
          <a:ext cx="7315816" cy="146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87313</xdr:colOff>
      <xdr:row>0</xdr:row>
      <xdr:rowOff>87312</xdr:rowOff>
    </xdr:from>
    <xdr:to>
      <xdr:col>6</xdr:col>
      <xdr:colOff>219691</xdr:colOff>
      <xdr:row>7</xdr:row>
      <xdr:rowOff>150812</xdr:rowOff>
    </xdr:to>
    <xdr:pic>
      <xdr:nvPicPr>
        <xdr:cNvPr id="5"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9938" y="87312"/>
          <a:ext cx="7315816" cy="146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277812</xdr:colOff>
      <xdr:row>0</xdr:row>
      <xdr:rowOff>150812</xdr:rowOff>
    </xdr:from>
    <xdr:to>
      <xdr:col>6</xdr:col>
      <xdr:colOff>368236</xdr:colOff>
      <xdr:row>7</xdr:row>
      <xdr:rowOff>182562</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062" y="150812"/>
          <a:ext cx="7315816" cy="146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1669990</xdr:colOff>
      <xdr:row>3</xdr:row>
      <xdr:rowOff>19049</xdr:rowOff>
    </xdr:from>
    <xdr:to>
      <xdr:col>8</xdr:col>
      <xdr:colOff>1236115</xdr:colOff>
      <xdr:row>15</xdr:row>
      <xdr:rowOff>28575</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69990" y="504824"/>
          <a:ext cx="9776925" cy="1962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304800</xdr:colOff>
      <xdr:row>0</xdr:row>
      <xdr:rowOff>57150</xdr:rowOff>
    </xdr:from>
    <xdr:to>
      <xdr:col>0</xdr:col>
      <xdr:colOff>1133475</xdr:colOff>
      <xdr:row>1</xdr:row>
      <xdr:rowOff>161925</xdr:rowOff>
    </xdr:to>
    <xdr:pic>
      <xdr:nvPicPr>
        <xdr:cNvPr id="14418"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57150"/>
          <a:ext cx="8286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11</xdr:col>
          <xdr:colOff>114300</xdr:colOff>
          <xdr:row>0</xdr:row>
          <xdr:rowOff>28575</xdr:rowOff>
        </xdr:from>
        <xdr:to>
          <xdr:col>11</xdr:col>
          <xdr:colOff>809625</xdr:colOff>
          <xdr:row>2</xdr:row>
          <xdr:rowOff>0</xdr:rowOff>
        </xdr:to>
        <xdr:sp macro="" textlink="">
          <xdr:nvSpPr>
            <xdr:cNvPr id="9616" name="Object 400" hidden="1">
              <a:extLst>
                <a:ext uri="{63B3BB69-23CF-44E3-9099-C40C66FF867C}">
                  <a14:compatExt spid="_x0000_s961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ables/table1.xml><?xml version="1.0" encoding="utf-8"?>
<table xmlns="http://schemas.openxmlformats.org/spreadsheetml/2006/main" id="1" name="Tabla17" displayName="Tabla17" ref="A23:G41" totalsRowShown="0" headerRowDxfId="20" dataDxfId="19" tableBorderDxfId="18" headerRowCellStyle="Millares" dataCellStyle="Millares">
  <autoFilter ref="A23:G41"/>
  <tableColumns count="7">
    <tableColumn id="1" name="Columna1" dataDxfId="17"/>
    <tableColumn id="2" name="Columna2" dataDxfId="16"/>
    <tableColumn id="3" name="Columna3" dataDxfId="15"/>
    <tableColumn id="4" name="Columna4" dataDxfId="14" dataCellStyle="Millares"/>
    <tableColumn id="5" name="Columna5" dataDxfId="13" dataCellStyle="Millares"/>
    <tableColumn id="6" name="Columna6" dataDxfId="12" dataCellStyle="Millares"/>
    <tableColumn id="7" name="Columna7" dataDxfId="11" dataCellStyle="Millares"/>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2.bin"/><Relationship Id="rId6" Type="http://schemas.openxmlformats.org/officeDocument/2006/relationships/comments" Target="../comments8.xml"/><Relationship Id="rId5" Type="http://schemas.openxmlformats.org/officeDocument/2006/relationships/image" Target="../media/image10.emf"/><Relationship Id="rId4" Type="http://schemas.openxmlformats.org/officeDocument/2006/relationships/oleObject" Target="../embeddings/oleObject1.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asesoresenimpuestos.com/" TargetMode="External"/><Relationship Id="rId1" Type="http://schemas.openxmlformats.org/officeDocument/2006/relationships/hyperlink" Target="mailto:gerencia@asesoresenimpuestos.com"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sesoresenimpuestos.com/" TargetMode="External"/><Relationship Id="rId1" Type="http://schemas.openxmlformats.org/officeDocument/2006/relationships/hyperlink" Target="mailto:gerencia@asesoresenimpuestos.com"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B1:B224"/>
  <sheetViews>
    <sheetView showGridLines="0" zoomScaleNormal="100" workbookViewId="0">
      <selection activeCell="E278" sqref="E278"/>
    </sheetView>
  </sheetViews>
  <sheetFormatPr baseColWidth="10" defaultRowHeight="15" x14ac:dyDescent="0.25"/>
  <cols>
    <col min="1" max="1" width="1.5703125" customWidth="1"/>
    <col min="3" max="3" width="27.42578125" customWidth="1"/>
  </cols>
  <sheetData>
    <row r="1" ht="6.75" customHeight="1" x14ac:dyDescent="0.25"/>
    <row r="224" spans="2:2" x14ac:dyDescent="0.25">
      <c r="B224" s="875"/>
    </row>
  </sheetData>
  <sheetProtection password="941B"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7:V96"/>
  <sheetViews>
    <sheetView showGridLines="0" tabSelected="1" zoomScaleNormal="100" workbookViewId="0">
      <selection activeCell="F50" sqref="F50"/>
    </sheetView>
  </sheetViews>
  <sheetFormatPr baseColWidth="10" defaultColWidth="11.5703125" defaultRowHeight="15" x14ac:dyDescent="0.25"/>
  <cols>
    <col min="1" max="1" width="0.85546875" style="154" customWidth="1"/>
    <col min="2" max="2" width="6.28515625" style="154" customWidth="1"/>
    <col min="3" max="3" width="79" style="154" customWidth="1"/>
    <col min="4" max="4" width="11.28515625" style="154" customWidth="1"/>
    <col min="5" max="5" width="23" style="154" hidden="1" customWidth="1"/>
    <col min="6" max="6" width="18.140625" style="154" customWidth="1"/>
    <col min="7" max="7" width="16.7109375" style="154" customWidth="1"/>
    <col min="8" max="9" width="15.140625" style="154" hidden="1" customWidth="1"/>
    <col min="10" max="10" width="7.85546875" style="154" hidden="1" customWidth="1"/>
    <col min="11" max="11" width="13.7109375" style="154" hidden="1" customWidth="1"/>
    <col min="12" max="12" width="7.85546875" style="154" hidden="1" customWidth="1"/>
    <col min="13" max="13" width="13.7109375" style="154" hidden="1" customWidth="1"/>
    <col min="14" max="14" width="15.5703125" style="687" hidden="1" customWidth="1"/>
    <col min="15" max="15" width="13.140625" style="204" hidden="1" customWidth="1"/>
    <col min="16" max="16" width="15.28515625" style="154" hidden="1" customWidth="1"/>
    <col min="17" max="17" width="7" style="154" hidden="1" customWidth="1"/>
    <col min="18" max="19" width="15.28515625" style="154" hidden="1" customWidth="1"/>
    <col min="20" max="20" width="0.7109375" style="154" customWidth="1"/>
    <col min="21" max="21" width="23" style="154" hidden="1" customWidth="1"/>
    <col min="22" max="22" width="15.7109375" style="154" bestFit="1" customWidth="1"/>
    <col min="23" max="16384" width="11.5703125" style="154"/>
  </cols>
  <sheetData>
    <row r="7" spans="2:15" ht="22.5" customHeight="1" thickBot="1" x14ac:dyDescent="0.3"/>
    <row r="8" spans="2:15" s="499" customFormat="1" ht="20.25" customHeight="1" thickBot="1" x14ac:dyDescent="0.3">
      <c r="B8" s="718" t="s">
        <v>371</v>
      </c>
      <c r="C8" s="718"/>
      <c r="D8" s="719"/>
      <c r="E8" s="719"/>
      <c r="F8" s="719"/>
      <c r="G8" s="720"/>
      <c r="H8" s="716"/>
      <c r="I8" s="716"/>
      <c r="J8" s="716"/>
      <c r="K8" s="716"/>
      <c r="L8" s="716"/>
      <c r="M8" s="717"/>
      <c r="N8" s="321"/>
      <c r="O8" s="715"/>
    </row>
    <row r="9" spans="2:15" s="499" customFormat="1" ht="12" hidden="1" customHeight="1" x14ac:dyDescent="0.25">
      <c r="B9" s="856"/>
      <c r="C9" s="856" t="s">
        <v>123</v>
      </c>
      <c r="D9" s="857"/>
      <c r="E9" s="857"/>
      <c r="F9" s="857"/>
      <c r="G9" s="860"/>
      <c r="H9" s="735"/>
      <c r="I9" s="735"/>
      <c r="J9" s="735"/>
      <c r="K9" s="735"/>
      <c r="L9" s="735"/>
      <c r="M9" s="737"/>
      <c r="N9" s="321"/>
      <c r="O9" s="572"/>
    </row>
    <row r="10" spans="2:15" s="570" customFormat="1" ht="15.75" hidden="1" customHeight="1" x14ac:dyDescent="0.25">
      <c r="B10" s="706"/>
      <c r="C10" s="706"/>
      <c r="D10" s="662"/>
      <c r="E10" s="660"/>
      <c r="F10" s="660"/>
      <c r="G10" s="721"/>
      <c r="H10" s="581"/>
      <c r="I10" s="581"/>
      <c r="J10" s="581"/>
      <c r="K10" s="581"/>
      <c r="L10" s="581"/>
      <c r="M10" s="582"/>
      <c r="N10" s="568"/>
      <c r="O10" s="569"/>
    </row>
    <row r="11" spans="2:15" s="570" customFormat="1" ht="15.75" hidden="1" customHeight="1" x14ac:dyDescent="0.25">
      <c r="B11" s="706"/>
      <c r="C11" s="706"/>
      <c r="D11" s="662"/>
      <c r="E11" s="660"/>
      <c r="F11" s="660"/>
      <c r="G11" s="721"/>
      <c r="H11" s="581"/>
      <c r="I11" s="581"/>
      <c r="J11" s="581"/>
      <c r="K11" s="581"/>
      <c r="L11" s="581"/>
      <c r="M11" s="582"/>
      <c r="N11" s="568"/>
      <c r="O11" s="569"/>
    </row>
    <row r="12" spans="2:15" s="570" customFormat="1" ht="15.75" hidden="1" customHeight="1" x14ac:dyDescent="0.25">
      <c r="B12" s="707"/>
      <c r="C12" s="707"/>
      <c r="D12" s="769"/>
      <c r="E12" s="660"/>
      <c r="F12" s="660"/>
      <c r="G12" s="721"/>
      <c r="H12" s="581"/>
      <c r="I12" s="581"/>
      <c r="J12" s="581"/>
      <c r="K12" s="581"/>
      <c r="L12" s="581"/>
      <c r="M12" s="582"/>
      <c r="N12" s="687" t="s">
        <v>15</v>
      </c>
      <c r="O12" s="687" t="s">
        <v>98</v>
      </c>
    </row>
    <row r="13" spans="2:15" s="499" customFormat="1" ht="15.75" hidden="1" customHeight="1" thickBot="1" x14ac:dyDescent="0.3">
      <c r="B13" s="707"/>
      <c r="C13" s="707"/>
      <c r="D13" s="769"/>
      <c r="E13" s="661">
        <v>0.1</v>
      </c>
      <c r="F13" s="662"/>
      <c r="G13" s="722"/>
      <c r="H13" s="553"/>
      <c r="I13" s="553"/>
      <c r="J13" s="553"/>
      <c r="K13" s="553"/>
      <c r="L13" s="553"/>
      <c r="M13" s="571"/>
      <c r="N13" s="321" t="s">
        <v>83</v>
      </c>
      <c r="O13" s="687" t="s">
        <v>99</v>
      </c>
    </row>
    <row r="14" spans="2:15" ht="15.75" thickBot="1" x14ac:dyDescent="0.3">
      <c r="B14" s="596" t="s">
        <v>220</v>
      </c>
      <c r="C14" s="596"/>
      <c r="D14" s="515"/>
      <c r="E14" s="551"/>
      <c r="F14" s="516"/>
      <c r="G14" s="517"/>
      <c r="H14" s="539"/>
      <c r="I14" s="539"/>
      <c r="J14" s="489"/>
      <c r="K14" s="489"/>
      <c r="L14" s="489"/>
      <c r="M14" s="550"/>
      <c r="N14" s="687" t="s">
        <v>123</v>
      </c>
    </row>
    <row r="15" spans="2:15" x14ac:dyDescent="0.25">
      <c r="B15" s="513"/>
      <c r="C15" s="513"/>
      <c r="D15" s="513"/>
      <c r="E15" s="153"/>
      <c r="F15" s="513" t="s">
        <v>202</v>
      </c>
      <c r="G15" s="633">
        <f>+'Cálculo % Fijo de Ret.Fte.'!G16</f>
        <v>31859</v>
      </c>
      <c r="H15" s="489"/>
      <c r="I15" s="489"/>
      <c r="J15" s="489"/>
      <c r="K15" s="489"/>
      <c r="L15" s="489"/>
      <c r="M15" s="550"/>
      <c r="N15" s="687" t="s">
        <v>122</v>
      </c>
    </row>
    <row r="16" spans="2:15" x14ac:dyDescent="0.25">
      <c r="B16" s="634"/>
      <c r="C16" s="634"/>
      <c r="D16" s="634"/>
      <c r="E16" s="489"/>
      <c r="F16" s="634" t="s">
        <v>203</v>
      </c>
      <c r="G16" s="635">
        <f>+'Cálculo % Fijo de Ret.Fte.'!G17</f>
        <v>737717</v>
      </c>
      <c r="H16" s="489"/>
      <c r="I16" s="489"/>
      <c r="J16" s="489"/>
      <c r="K16" s="489"/>
      <c r="L16" s="489"/>
      <c r="M16" s="550"/>
      <c r="N16" s="687" t="s">
        <v>124</v>
      </c>
    </row>
    <row r="17" spans="2:19" s="607" customFormat="1" ht="15.75" hidden="1" thickBot="1" x14ac:dyDescent="0.3">
      <c r="B17" s="708"/>
      <c r="C17" s="708"/>
      <c r="D17" s="636"/>
      <c r="E17" s="637"/>
      <c r="F17" s="636"/>
      <c r="G17" s="723"/>
      <c r="M17" s="709"/>
      <c r="N17" s="309"/>
      <c r="O17" s="310"/>
    </row>
    <row r="18" spans="2:19" hidden="1" x14ac:dyDescent="0.25">
      <c r="B18" s="611"/>
      <c r="C18" s="611" t="s">
        <v>224</v>
      </c>
      <c r="D18" s="612"/>
      <c r="E18" s="613"/>
      <c r="F18" s="614"/>
      <c r="G18" s="615"/>
      <c r="H18" s="539"/>
      <c r="I18" s="539"/>
      <c r="J18" s="489"/>
      <c r="K18" s="489"/>
      <c r="L18" s="489"/>
      <c r="M18" s="550"/>
      <c r="N18" s="687" t="s">
        <v>123</v>
      </c>
      <c r="S18" s="687"/>
    </row>
    <row r="19" spans="2:19" s="625" customFormat="1" ht="11.25" hidden="1" x14ac:dyDescent="0.2">
      <c r="B19" s="616"/>
      <c r="C19" s="616" t="s">
        <v>225</v>
      </c>
      <c r="D19" s="617"/>
      <c r="E19" s="618"/>
      <c r="F19" s="619"/>
      <c r="G19" s="619" t="s">
        <v>226</v>
      </c>
      <c r="H19" s="620"/>
      <c r="I19" s="620"/>
      <c r="J19" s="621"/>
      <c r="K19" s="621"/>
      <c r="L19" s="621"/>
      <c r="M19" s="622"/>
      <c r="N19" s="623"/>
      <c r="O19" s="624"/>
      <c r="S19" s="623"/>
    </row>
    <row r="20" spans="2:19" hidden="1" x14ac:dyDescent="0.25">
      <c r="B20" s="653"/>
      <c r="C20" s="653">
        <f>+'Cálculo % Fijo de Ret.Fte.'!C21</f>
        <v>0</v>
      </c>
      <c r="D20" s="654"/>
      <c r="E20" s="655"/>
      <c r="F20" s="656"/>
      <c r="G20" s="652">
        <f>+'Cálculo % Fijo de Ret.Fte.'!G21</f>
        <v>0</v>
      </c>
      <c r="H20" s="583"/>
      <c r="I20" s="583"/>
      <c r="J20" s="489"/>
      <c r="K20" s="489"/>
      <c r="L20" s="489"/>
      <c r="M20" s="550"/>
      <c r="S20" s="687"/>
    </row>
    <row r="21" spans="2:19" x14ac:dyDescent="0.25">
      <c r="B21" s="626" t="s">
        <v>296</v>
      </c>
      <c r="C21" s="626"/>
      <c r="D21" s="627"/>
      <c r="E21" s="628"/>
      <c r="F21" s="629"/>
      <c r="G21" s="630"/>
      <c r="H21" s="539"/>
      <c r="I21" s="539"/>
      <c r="J21" s="489"/>
      <c r="K21" s="489"/>
      <c r="L21" s="489"/>
      <c r="M21" s="550"/>
      <c r="N21" s="687" t="s">
        <v>123</v>
      </c>
      <c r="S21" s="687"/>
    </row>
    <row r="22" spans="2:19" s="625" customFormat="1" ht="11.25" x14ac:dyDescent="0.2">
      <c r="B22" s="912" t="s">
        <v>228</v>
      </c>
      <c r="C22" s="912"/>
      <c r="D22" s="617"/>
      <c r="E22" s="911"/>
      <c r="F22" s="619"/>
      <c r="G22" s="619" t="s">
        <v>230</v>
      </c>
      <c r="H22" s="620"/>
      <c r="I22" s="620"/>
      <c r="J22" s="621"/>
      <c r="K22" s="621"/>
      <c r="L22" s="621"/>
      <c r="M22" s="622"/>
      <c r="N22" s="623"/>
      <c r="O22" s="624"/>
      <c r="S22" s="623"/>
    </row>
    <row r="23" spans="2:19" x14ac:dyDescent="0.25">
      <c r="B23" s="1023">
        <f>+'Ret.Fte.Mes (Procedimiento 2)'!B24</f>
        <v>0</v>
      </c>
      <c r="C23" s="1024"/>
      <c r="D23" s="1024"/>
      <c r="E23" s="1024"/>
      <c r="F23" s="1025"/>
      <c r="G23" s="705">
        <f>+'Cálculo % Fijo de Ret.Fte.'!G24</f>
        <v>0</v>
      </c>
      <c r="H23" s="514"/>
      <c r="I23" s="514"/>
      <c r="J23" s="489"/>
      <c r="K23" s="489"/>
      <c r="L23" s="489"/>
      <c r="M23" s="550"/>
      <c r="S23" s="687"/>
    </row>
    <row r="24" spans="2:19" ht="15.75" hidden="1" thickBot="1" x14ac:dyDescent="0.3">
      <c r="B24" s="640"/>
      <c r="C24" s="640"/>
      <c r="D24" s="267"/>
      <c r="E24" s="267"/>
      <c r="F24" s="641"/>
      <c r="G24" s="724"/>
      <c r="H24" s="585"/>
      <c r="I24" s="585"/>
      <c r="J24" s="489"/>
      <c r="K24" s="489"/>
      <c r="L24" s="489"/>
      <c r="M24" s="550"/>
    </row>
    <row r="25" spans="2:19" ht="15.75" hidden="1" thickBot="1" x14ac:dyDescent="0.3">
      <c r="B25" s="611" t="s">
        <v>229</v>
      </c>
      <c r="C25" s="611"/>
      <c r="D25" s="612"/>
      <c r="E25" s="613"/>
      <c r="F25" s="614"/>
      <c r="G25" s="615"/>
      <c r="H25" s="539"/>
      <c r="I25" s="539"/>
      <c r="J25" s="489"/>
      <c r="K25" s="489"/>
      <c r="L25" s="489"/>
      <c r="M25" s="550"/>
      <c r="S25" s="687"/>
    </row>
    <row r="26" spans="2:19" hidden="1" x14ac:dyDescent="0.25">
      <c r="B26" s="513"/>
      <c r="C26" s="513"/>
      <c r="D26" s="513" t="s">
        <v>215</v>
      </c>
      <c r="E26" s="520"/>
      <c r="F26" s="732">
        <v>42401</v>
      </c>
      <c r="G26" s="733">
        <v>42429</v>
      </c>
      <c r="H26" s="583"/>
      <c r="I26" s="583"/>
      <c r="J26" s="489"/>
      <c r="K26" s="489"/>
      <c r="L26" s="489"/>
      <c r="M26" s="550"/>
    </row>
    <row r="27" spans="2:19" ht="15.75" hidden="1" thickBot="1" x14ac:dyDescent="0.3">
      <c r="B27" s="518"/>
      <c r="C27" s="518"/>
      <c r="D27" s="518" t="s">
        <v>216</v>
      </c>
      <c r="E27" s="512"/>
      <c r="F27" s="584">
        <f>+G27/30</f>
        <v>1</v>
      </c>
      <c r="G27" s="519">
        <f>(ROUND(DAYS360((EOMONTH(F26,-1)+1),(IF(EOMONTH(G26,0)=G26,EOMONTH(G26,0),EOMONTH(G26,-1))))/30,0)*30+(IF(EOMONTH(G26,0)=G26,0, DAY(G26))-DAY(F26)))+1</f>
        <v>30</v>
      </c>
      <c r="H27" s="514"/>
      <c r="I27" s="514"/>
      <c r="J27" s="489"/>
      <c r="K27" s="489"/>
      <c r="L27" s="489"/>
      <c r="M27" s="550"/>
    </row>
    <row r="28" spans="2:19" s="607" customFormat="1" hidden="1" x14ac:dyDescent="0.25">
      <c r="B28" s="710"/>
      <c r="C28" s="710"/>
      <c r="D28" s="631"/>
      <c r="F28" s="639"/>
      <c r="G28" s="725"/>
      <c r="H28" s="632"/>
      <c r="I28" s="632"/>
      <c r="M28" s="709"/>
      <c r="N28" s="309"/>
      <c r="O28" s="310"/>
    </row>
    <row r="29" spans="2:19" x14ac:dyDescent="0.25">
      <c r="B29" s="886" t="s">
        <v>366</v>
      </c>
      <c r="C29" s="537" t="s">
        <v>383</v>
      </c>
      <c r="D29" s="538"/>
      <c r="E29" s="552"/>
      <c r="F29" s="511" t="s">
        <v>213</v>
      </c>
      <c r="G29" s="586" t="s">
        <v>214</v>
      </c>
      <c r="H29" s="587"/>
      <c r="I29" s="587"/>
      <c r="J29" s="489"/>
      <c r="K29" s="489"/>
      <c r="L29" s="489"/>
      <c r="M29" s="550"/>
    </row>
    <row r="30" spans="2:19" x14ac:dyDescent="0.25">
      <c r="B30" s="887">
        <v>1</v>
      </c>
      <c r="C30" s="507" t="s">
        <v>190</v>
      </c>
      <c r="D30" s="510"/>
      <c r="E30" s="489"/>
      <c r="F30" s="575">
        <v>0</v>
      </c>
      <c r="G30" s="594">
        <f t="shared" ref="G30:G41" si="0">IF(F30&gt;0,+F30/$F$42,0)</f>
        <v>0</v>
      </c>
      <c r="H30" s="540"/>
      <c r="I30" s="540"/>
      <c r="J30" s="489"/>
      <c r="K30" s="489"/>
      <c r="L30" s="489"/>
      <c r="M30" s="550"/>
    </row>
    <row r="31" spans="2:19" x14ac:dyDescent="0.25">
      <c r="B31" s="887">
        <f>+B30+1</f>
        <v>2</v>
      </c>
      <c r="C31" s="507" t="s">
        <v>204</v>
      </c>
      <c r="D31" s="510"/>
      <c r="E31" s="489"/>
      <c r="F31" s="575">
        <v>0</v>
      </c>
      <c r="G31" s="594">
        <f t="shared" si="0"/>
        <v>0</v>
      </c>
      <c r="H31" s="540"/>
      <c r="I31" s="540"/>
      <c r="J31" s="489"/>
      <c r="K31" s="489"/>
      <c r="L31" s="489"/>
      <c r="M31" s="550"/>
    </row>
    <row r="32" spans="2:19" x14ac:dyDescent="0.25">
      <c r="B32" s="887">
        <f t="shared" ref="B32:B89" si="1">+B31+1</f>
        <v>3</v>
      </c>
      <c r="C32" s="507" t="s">
        <v>193</v>
      </c>
      <c r="D32" s="510"/>
      <c r="E32" s="489"/>
      <c r="F32" s="575">
        <v>0</v>
      </c>
      <c r="G32" s="594">
        <f t="shared" si="0"/>
        <v>0</v>
      </c>
      <c r="H32" s="540"/>
      <c r="I32" s="540"/>
      <c r="J32" s="489"/>
      <c r="K32" s="489"/>
      <c r="L32" s="489"/>
      <c r="M32" s="550"/>
    </row>
    <row r="33" spans="2:13" x14ac:dyDescent="0.25">
      <c r="B33" s="887">
        <f t="shared" si="1"/>
        <v>4</v>
      </c>
      <c r="C33" s="507" t="s">
        <v>194</v>
      </c>
      <c r="D33" s="510"/>
      <c r="E33" s="489"/>
      <c r="F33" s="575">
        <f>+'Ret.Fte.Mes (Procedimiento 2)'!F34*12</f>
        <v>0</v>
      </c>
      <c r="G33" s="594">
        <f t="shared" si="0"/>
        <v>0</v>
      </c>
      <c r="H33" s="540"/>
      <c r="I33" s="540"/>
      <c r="J33" s="489"/>
      <c r="K33" s="489"/>
      <c r="L33" s="489"/>
      <c r="M33" s="550"/>
    </row>
    <row r="34" spans="2:13" x14ac:dyDescent="0.25">
      <c r="B34" s="887">
        <f t="shared" si="1"/>
        <v>5</v>
      </c>
      <c r="C34" s="507" t="s">
        <v>195</v>
      </c>
      <c r="D34" s="510"/>
      <c r="E34" s="489"/>
      <c r="F34" s="575">
        <f>+'Ret.Fte.Mes (Procedimiento 2)'!F35*12</f>
        <v>0</v>
      </c>
      <c r="G34" s="594">
        <f t="shared" si="0"/>
        <v>0</v>
      </c>
      <c r="H34" s="540"/>
      <c r="I34" s="540"/>
      <c r="J34" s="489"/>
      <c r="K34" s="489"/>
      <c r="L34" s="489"/>
      <c r="M34" s="550"/>
    </row>
    <row r="35" spans="2:13" x14ac:dyDescent="0.25">
      <c r="B35" s="887">
        <f t="shared" si="1"/>
        <v>6</v>
      </c>
      <c r="C35" s="507" t="s">
        <v>198</v>
      </c>
      <c r="D35" s="510"/>
      <c r="E35" s="489"/>
      <c r="F35" s="575">
        <f>+'Ret.Fte.Mes (Procedimiento 2)'!F36*12</f>
        <v>0</v>
      </c>
      <c r="G35" s="594">
        <f t="shared" si="0"/>
        <v>0</v>
      </c>
      <c r="H35" s="540"/>
      <c r="I35" s="540"/>
      <c r="J35" s="489"/>
      <c r="K35" s="489"/>
      <c r="L35" s="489"/>
      <c r="M35" s="550"/>
    </row>
    <row r="36" spans="2:13" x14ac:dyDescent="0.25">
      <c r="B36" s="887">
        <f t="shared" si="1"/>
        <v>7</v>
      </c>
      <c r="C36" s="507" t="s">
        <v>191</v>
      </c>
      <c r="D36" s="510"/>
      <c r="E36" s="489"/>
      <c r="F36" s="575">
        <f>+'Ret.Fte.Mes (Procedimiento 2)'!F37*12</f>
        <v>0</v>
      </c>
      <c r="G36" s="594">
        <f t="shared" si="0"/>
        <v>0</v>
      </c>
      <c r="H36" s="540"/>
      <c r="I36" s="540"/>
      <c r="J36" s="489"/>
      <c r="K36" s="489"/>
      <c r="L36" s="489"/>
      <c r="M36" s="550"/>
    </row>
    <row r="37" spans="2:13" x14ac:dyDescent="0.25">
      <c r="B37" s="887">
        <f t="shared" si="1"/>
        <v>8</v>
      </c>
      <c r="C37" s="507" t="s">
        <v>196</v>
      </c>
      <c r="D37" s="510"/>
      <c r="E37" s="489"/>
      <c r="F37" s="575">
        <f>+'Ret.Fte.Mes (Procedimiento 2)'!F38*12</f>
        <v>0</v>
      </c>
      <c r="G37" s="594">
        <f t="shared" si="0"/>
        <v>0</v>
      </c>
      <c r="H37" s="540"/>
      <c r="I37" s="540"/>
      <c r="J37" s="489"/>
      <c r="K37" s="489"/>
      <c r="L37" s="489"/>
      <c r="M37" s="550"/>
    </row>
    <row r="38" spans="2:13" x14ac:dyDescent="0.25">
      <c r="B38" s="887">
        <f t="shared" si="1"/>
        <v>9</v>
      </c>
      <c r="C38" s="507" t="s">
        <v>197</v>
      </c>
      <c r="D38" s="510"/>
      <c r="E38" s="489"/>
      <c r="F38" s="575">
        <f>+'Ret.Fte.Mes (Procedimiento 2)'!F39*12</f>
        <v>0</v>
      </c>
      <c r="G38" s="594">
        <f t="shared" si="0"/>
        <v>0</v>
      </c>
      <c r="H38" s="540"/>
      <c r="I38" s="540"/>
      <c r="J38" s="489"/>
      <c r="K38" s="489"/>
      <c r="L38" s="489"/>
      <c r="M38" s="550"/>
    </row>
    <row r="39" spans="2:13" x14ac:dyDescent="0.25">
      <c r="B39" s="887">
        <f t="shared" si="1"/>
        <v>10</v>
      </c>
      <c r="C39" s="507" t="s">
        <v>199</v>
      </c>
      <c r="D39" s="510"/>
      <c r="E39" s="489"/>
      <c r="F39" s="575">
        <f>+'Ret.Fte.Mes (Procedimiento 2)'!F40*12</f>
        <v>0</v>
      </c>
      <c r="G39" s="594">
        <f t="shared" si="0"/>
        <v>0</v>
      </c>
      <c r="H39" s="540"/>
      <c r="I39" s="540"/>
      <c r="J39" s="489"/>
      <c r="K39" s="489"/>
      <c r="L39" s="489"/>
      <c r="M39" s="550"/>
    </row>
    <row r="40" spans="2:13" x14ac:dyDescent="0.25">
      <c r="B40" s="887">
        <f t="shared" si="1"/>
        <v>11</v>
      </c>
      <c r="C40" s="507" t="s">
        <v>192</v>
      </c>
      <c r="D40" s="510"/>
      <c r="E40" s="489"/>
      <c r="F40" s="575">
        <v>0</v>
      </c>
      <c r="G40" s="594">
        <f t="shared" si="0"/>
        <v>0</v>
      </c>
      <c r="H40" s="540"/>
      <c r="I40" s="540"/>
      <c r="J40" s="489"/>
      <c r="K40" s="489"/>
      <c r="L40" s="489"/>
      <c r="M40" s="550"/>
    </row>
    <row r="41" spans="2:13" x14ac:dyDescent="0.25">
      <c r="B41" s="887">
        <f t="shared" si="1"/>
        <v>12</v>
      </c>
      <c r="C41" s="507" t="s">
        <v>391</v>
      </c>
      <c r="D41" s="510"/>
      <c r="E41" s="489"/>
      <c r="F41" s="575">
        <v>0</v>
      </c>
      <c r="G41" s="594">
        <f t="shared" si="0"/>
        <v>0</v>
      </c>
      <c r="H41" s="540"/>
      <c r="I41" s="540"/>
      <c r="J41" s="489"/>
      <c r="K41" s="489"/>
      <c r="L41" s="489"/>
      <c r="M41" s="550"/>
    </row>
    <row r="42" spans="2:13" x14ac:dyDescent="0.25">
      <c r="B42" s="894">
        <f t="shared" si="1"/>
        <v>13</v>
      </c>
      <c r="C42" s="507" t="s">
        <v>210</v>
      </c>
      <c r="D42" s="935"/>
      <c r="E42" s="489"/>
      <c r="F42" s="589">
        <f>SUM(F30:F41)</f>
        <v>0</v>
      </c>
      <c r="G42" s="422">
        <f>SUM(G30:G41)</f>
        <v>0</v>
      </c>
      <c r="H42" s="542"/>
      <c r="I42" s="542"/>
      <c r="J42" s="489"/>
      <c r="K42" s="489"/>
      <c r="L42" s="489"/>
      <c r="M42" s="550"/>
    </row>
    <row r="43" spans="2:13" ht="15.75" thickBot="1" x14ac:dyDescent="0.3">
      <c r="B43" s="894">
        <f t="shared" si="1"/>
        <v>14</v>
      </c>
      <c r="C43" s="507" t="s">
        <v>382</v>
      </c>
      <c r="D43" s="922"/>
      <c r="E43" s="489"/>
      <c r="F43" s="576">
        <v>0</v>
      </c>
      <c r="G43" s="422">
        <f>IF(F43&gt;0,+F43/$F$46,0)</f>
        <v>0</v>
      </c>
      <c r="H43" s="813"/>
      <c r="I43" s="542"/>
      <c r="J43" s="489"/>
      <c r="K43" s="489"/>
      <c r="L43" s="489"/>
      <c r="M43" s="550"/>
    </row>
    <row r="44" spans="2:13" hidden="1" x14ac:dyDescent="0.25">
      <c r="B44" s="894">
        <f t="shared" si="1"/>
        <v>15</v>
      </c>
      <c r="C44" s="507" t="s">
        <v>140</v>
      </c>
      <c r="D44" s="922"/>
      <c r="E44" s="489"/>
      <c r="F44" s="590">
        <v>0</v>
      </c>
      <c r="G44" s="422">
        <f>IF(F44&gt;0,+F44/$F$46,0)</f>
        <v>0</v>
      </c>
      <c r="H44" s="542"/>
      <c r="I44" s="542"/>
      <c r="J44" s="489"/>
      <c r="K44" s="489"/>
      <c r="L44" s="489"/>
      <c r="M44" s="550"/>
    </row>
    <row r="45" spans="2:13" hidden="1" x14ac:dyDescent="0.25">
      <c r="B45" s="892">
        <f t="shared" si="1"/>
        <v>16</v>
      </c>
      <c r="C45" s="940" t="s">
        <v>141</v>
      </c>
      <c r="D45" s="941"/>
      <c r="E45" s="489"/>
      <c r="F45" s="591">
        <v>0</v>
      </c>
      <c r="G45" s="942">
        <f>IF(F45&gt;0,+F45/$F$46,0)</f>
        <v>0</v>
      </c>
      <c r="H45" s="542"/>
      <c r="I45" s="542"/>
      <c r="J45" s="489"/>
      <c r="K45" s="489"/>
      <c r="L45" s="489"/>
      <c r="M45" s="550"/>
    </row>
    <row r="46" spans="2:13" ht="15.75" thickBot="1" x14ac:dyDescent="0.3">
      <c r="B46" s="943">
        <f>+B43+1</f>
        <v>15</v>
      </c>
      <c r="C46" s="944" t="s">
        <v>329</v>
      </c>
      <c r="D46" s="945"/>
      <c r="E46" s="946"/>
      <c r="F46" s="947">
        <f>SUM(F30:F41)+F43</f>
        <v>0</v>
      </c>
      <c r="G46" s="948">
        <f>SUM(G30:G40)</f>
        <v>0</v>
      </c>
      <c r="H46" s="543"/>
      <c r="I46" s="543"/>
      <c r="J46" s="489"/>
      <c r="K46" s="489"/>
      <c r="L46" s="489"/>
      <c r="M46" s="550"/>
    </row>
    <row r="47" spans="2:13" hidden="1" x14ac:dyDescent="0.25">
      <c r="B47" s="936">
        <f t="shared" si="1"/>
        <v>16</v>
      </c>
      <c r="C47" s="937"/>
      <c r="D47" s="938"/>
      <c r="E47" s="489"/>
      <c r="F47" s="939" t="s">
        <v>135</v>
      </c>
      <c r="G47" s="550"/>
      <c r="H47" s="489"/>
      <c r="I47" s="489"/>
      <c r="J47" s="489"/>
      <c r="K47" s="489"/>
      <c r="L47" s="489"/>
      <c r="M47" s="550"/>
    </row>
    <row r="48" spans="2:13" ht="15" hidden="1" customHeight="1" x14ac:dyDescent="0.25">
      <c r="B48" s="894">
        <f>+B46+1</f>
        <v>16</v>
      </c>
      <c r="C48" s="507" t="s">
        <v>328</v>
      </c>
      <c r="D48" s="922"/>
      <c r="E48" s="811"/>
      <c r="F48" s="812">
        <f>+'Ret.Fte.Mes (Procedimiento 1)'!F51*12</f>
        <v>0</v>
      </c>
      <c r="G48" s="928">
        <f>IF(F48&gt;0,F48/SUM($F$48:$F$53),0)</f>
        <v>0</v>
      </c>
      <c r="H48" s="489"/>
      <c r="I48" s="489"/>
      <c r="J48" s="489"/>
      <c r="K48" s="489"/>
      <c r="L48" s="489"/>
      <c r="M48" s="550"/>
    </row>
    <row r="49" spans="2:21" x14ac:dyDescent="0.25">
      <c r="B49" s="930">
        <f>+B46+1</f>
        <v>16</v>
      </c>
      <c r="C49" s="934" t="s">
        <v>86</v>
      </c>
      <c r="D49" s="933"/>
      <c r="E49" s="811"/>
      <c r="F49" s="576">
        <v>0</v>
      </c>
      <c r="G49" s="929">
        <f t="shared" ref="G49:G52" si="2">IF(F49&gt;0,F49/SUM($F$48:$F$53),0)</f>
        <v>0</v>
      </c>
      <c r="H49" s="489"/>
      <c r="I49" s="489"/>
      <c r="J49" s="489"/>
      <c r="K49" s="489"/>
      <c r="L49" s="489"/>
      <c r="M49" s="550"/>
    </row>
    <row r="50" spans="2:21" x14ac:dyDescent="0.25">
      <c r="B50" s="894">
        <f t="shared" si="1"/>
        <v>17</v>
      </c>
      <c r="C50" s="507" t="s">
        <v>85</v>
      </c>
      <c r="D50" s="922"/>
      <c r="E50" s="129"/>
      <c r="F50" s="576">
        <v>0</v>
      </c>
      <c r="G50" s="929">
        <f t="shared" si="2"/>
        <v>0</v>
      </c>
      <c r="H50" s="489"/>
      <c r="I50" s="489"/>
      <c r="J50" s="489"/>
      <c r="K50" s="489"/>
      <c r="L50" s="489"/>
      <c r="M50" s="550"/>
      <c r="N50" s="687">
        <f>IF(N52*0.3&gt;+G15*3800,G15*3800,N52*0.3)</f>
        <v>0</v>
      </c>
    </row>
    <row r="51" spans="2:21" x14ac:dyDescent="0.25">
      <c r="B51" s="894">
        <f t="shared" si="1"/>
        <v>18</v>
      </c>
      <c r="C51" s="507" t="s">
        <v>102</v>
      </c>
      <c r="D51" s="922"/>
      <c r="E51" s="129"/>
      <c r="F51" s="576">
        <v>0</v>
      </c>
      <c r="G51" s="929">
        <f t="shared" si="2"/>
        <v>0</v>
      </c>
      <c r="H51" s="489"/>
      <c r="I51" s="489"/>
      <c r="J51" s="489"/>
      <c r="K51" s="489"/>
      <c r="L51" s="489"/>
      <c r="M51" s="550"/>
      <c r="N51" s="687">
        <f>+G16*25</f>
        <v>18442925</v>
      </c>
      <c r="O51" s="219">
        <f>+N51/0.4</f>
        <v>46107312.5</v>
      </c>
    </row>
    <row r="52" spans="2:21" ht="15.75" thickBot="1" x14ac:dyDescent="0.3">
      <c r="B52" s="894">
        <f t="shared" si="1"/>
        <v>19</v>
      </c>
      <c r="C52" s="507" t="s">
        <v>84</v>
      </c>
      <c r="D52" s="922"/>
      <c r="E52" s="670"/>
      <c r="F52" s="576">
        <v>0</v>
      </c>
      <c r="G52" s="929">
        <f t="shared" si="2"/>
        <v>0</v>
      </c>
      <c r="H52" s="489"/>
      <c r="I52" s="489"/>
      <c r="J52" s="489"/>
      <c r="K52" s="489"/>
      <c r="L52" s="489"/>
      <c r="M52" s="550"/>
      <c r="N52" s="687">
        <f>IF(D42="MENSUAL",+F42*13,F42)</f>
        <v>0</v>
      </c>
    </row>
    <row r="53" spans="2:21" s="499" customFormat="1" ht="15" hidden="1" customHeight="1" x14ac:dyDescent="0.25">
      <c r="B53" s="906">
        <f t="shared" si="1"/>
        <v>20</v>
      </c>
      <c r="C53" s="861" t="e">
        <f>IF(N53=TRUE,"ATENCIÓN: EL CONTRIBUYENTE TIENE LA CATEGORÍA DE EMPLEADO Y USTED ELIGIÓ A UN INDEPENDIENTE SIN CATEGORÍA DE EMPLEADO","")</f>
        <v>#REF!</v>
      </c>
      <c r="D53" s="862"/>
      <c r="E53" s="862"/>
      <c r="F53" s="862"/>
      <c r="G53" s="863"/>
      <c r="H53" s="738"/>
      <c r="I53" s="738"/>
      <c r="J53" s="738"/>
      <c r="K53" s="738"/>
      <c r="L53" s="738"/>
      <c r="M53" s="739"/>
      <c r="N53" s="321" t="e">
        <f>AND(#REF!="SI",C9="PARA TRABAJADORES INDEPENDIENTES SIN CATEGORÍA DE EMPLEADOS")</f>
        <v>#REF!</v>
      </c>
      <c r="O53" s="321" t="e">
        <f>AND(#REF!="SI",F42&gt;F43,C9="PARA ASALARIADOS CON CATEGORÍA DE EMPLEADOS")</f>
        <v>#REF!</v>
      </c>
    </row>
    <row r="54" spans="2:21" s="499" customFormat="1" ht="15" hidden="1" customHeight="1" thickBot="1" x14ac:dyDescent="0.3">
      <c r="B54" s="932">
        <f t="shared" si="1"/>
        <v>21</v>
      </c>
      <c r="C54" s="858" t="e">
        <f>IF(O53=FALSE,"ATENCIÓN: ELIJA LA OPCIÓN ADECUADA SEGÚN EL MONTO DE LOS INGRESOS","")</f>
        <v>#REF!</v>
      </c>
      <c r="D54" s="859"/>
      <c r="E54" s="859"/>
      <c r="F54" s="859"/>
      <c r="G54" s="864"/>
      <c r="H54" s="736"/>
      <c r="I54" s="736"/>
      <c r="J54" s="736"/>
      <c r="K54" s="736"/>
      <c r="L54" s="736"/>
      <c r="M54" s="740"/>
      <c r="N54" s="321"/>
      <c r="O54" s="321"/>
    </row>
    <row r="55" spans="2:21" ht="42" customHeight="1" thickBot="1" x14ac:dyDescent="0.3">
      <c r="B55" s="908"/>
      <c r="C55" s="560" t="s">
        <v>21</v>
      </c>
      <c r="D55" s="561"/>
      <c r="E55" s="207" t="s">
        <v>3</v>
      </c>
      <c r="F55" s="207" t="s">
        <v>218</v>
      </c>
      <c r="G55" s="498" t="s">
        <v>353</v>
      </c>
      <c r="H55" s="489"/>
      <c r="I55" s="498"/>
      <c r="J55" s="1021" t="s">
        <v>156</v>
      </c>
      <c r="K55" s="1022"/>
      <c r="L55" s="1021" t="s">
        <v>115</v>
      </c>
      <c r="M55" s="1022"/>
      <c r="N55" s="208"/>
    </row>
    <row r="56" spans="2:21" ht="15.75" hidden="1" thickBot="1" x14ac:dyDescent="0.3">
      <c r="B56" s="904" t="s">
        <v>21</v>
      </c>
      <c r="C56" s="285"/>
      <c r="D56" s="489"/>
      <c r="E56" s="209"/>
      <c r="F56" s="209"/>
      <c r="G56" s="279"/>
      <c r="H56" s="489"/>
      <c r="I56" s="267"/>
      <c r="J56" s="210"/>
      <c r="K56" s="279"/>
      <c r="L56" s="210"/>
      <c r="M56" s="279"/>
    </row>
    <row r="57" spans="2:21" x14ac:dyDescent="0.25">
      <c r="B57" s="896">
        <f>+B52+1</f>
        <v>20</v>
      </c>
      <c r="C57" s="597" t="s">
        <v>221</v>
      </c>
      <c r="D57" s="598"/>
      <c r="E57" s="599">
        <f>IF(C9="PARA TRABAJADORES INDEPENDIENTES SIN CATEGORÍA DE EMPLEADOS",0,+F42+F43)</f>
        <v>0</v>
      </c>
      <c r="F57" s="600"/>
      <c r="G57" s="601">
        <f>+F46</f>
        <v>0</v>
      </c>
      <c r="H57" s="489"/>
      <c r="I57" s="275"/>
      <c r="J57" s="503"/>
      <c r="K57" s="331">
        <f>+G57</f>
        <v>0</v>
      </c>
      <c r="L57" s="212"/>
      <c r="M57" s="331">
        <f>IF(C9="PARA TRABAJADORES INDEPENDIENTES SIN CATEGORÍA DE EMPLEADOS",0,F42+F43)</f>
        <v>0</v>
      </c>
      <c r="N57" s="687">
        <f>+G57*F78</f>
        <v>0</v>
      </c>
      <c r="O57" s="687">
        <f>IF(N57&gt;N62,N62,N57)</f>
        <v>0</v>
      </c>
      <c r="R57" s="326"/>
      <c r="T57" s="726"/>
    </row>
    <row r="58" spans="2:21" x14ac:dyDescent="0.25">
      <c r="B58" s="904"/>
      <c r="C58" s="554" t="s">
        <v>285</v>
      </c>
      <c r="D58" s="489"/>
      <c r="E58" s="330"/>
      <c r="F58" s="209"/>
      <c r="G58" s="331"/>
      <c r="H58" s="489"/>
      <c r="I58" s="275"/>
      <c r="J58" s="503"/>
      <c r="K58" s="331"/>
      <c r="L58" s="503"/>
      <c r="M58" s="331"/>
      <c r="O58" s="687"/>
      <c r="R58" s="326"/>
    </row>
    <row r="59" spans="2:21" x14ac:dyDescent="0.25">
      <c r="B59" s="904">
        <f>+B57+1</f>
        <v>21</v>
      </c>
      <c r="C59" s="285" t="s">
        <v>297</v>
      </c>
      <c r="D59" s="489"/>
      <c r="E59" s="330">
        <f>IF(C9="PARA TRABAJADORES INDEPENDIENTES SIN CATEGORÍA DE EMPLEADOS",0,IF(F42&gt;0,IF(E61&lt;0,0,-IF($F$42&gt;$N$51,$N$51*$F$59,$F$42*$F$59)),0))</f>
        <v>0</v>
      </c>
      <c r="F59" s="559">
        <v>0.04</v>
      </c>
      <c r="G59" s="331">
        <f>-ROUND(IF(F46&gt;0,IF(G61&lt;0,0,IF(SUM(F30:F36)&gt;Datos!H36,Datos!H36*F59,SUM(F30:F36)*F59)),0),-2)</f>
        <v>0</v>
      </c>
      <c r="H59" s="489"/>
      <c r="I59" s="275"/>
      <c r="J59" s="275"/>
      <c r="K59" s="331">
        <f>IF(F42&gt;0,IF(K61&lt;0,0,-IF($F$42&gt;$N$51,$N$51*$F$59,$F$42*$F$59)),0)</f>
        <v>0</v>
      </c>
      <c r="L59" s="275"/>
      <c r="M59" s="331">
        <f>IF($C$9="PARA TRABAJADORES INDEPENDIENTES SIN CATEGORÍA DE EMPLEADOS",0,IF(F42&gt;0,IF(M61&lt;0,0,-IF($F$42&gt;$N$51,$N$51*$F$59,$F$42*$F$59)),0))</f>
        <v>0</v>
      </c>
      <c r="O59" s="217">
        <f>+G62+G78</f>
        <v>0</v>
      </c>
      <c r="R59" s="687"/>
      <c r="U59" s="741"/>
    </row>
    <row r="60" spans="2:21" x14ac:dyDescent="0.25">
      <c r="B60" s="904">
        <f>+B59+1</f>
        <v>22</v>
      </c>
      <c r="C60" s="285" t="s">
        <v>164</v>
      </c>
      <c r="D60" s="489"/>
      <c r="E60" s="330">
        <f>IF(C9="PARA TRABAJADORES INDEPENDIENTES SIN CATEGORÍA DE EMPLEADOS",0,IF($C$9&lt;&gt;"PARA ASALARIADOS CON CATEGORÍA DE EMPLEADOS",IF(E61&lt;0,0,-IF($F$43*0.4&gt;$N$51,$N$51*$F$60,$F$43*0.4*$F$60)),IF(E61&lt;0,0,-IF($F$43*0.4&gt;$N$51,$N$51*$F$60,$F$43*0.4*$F$60))))</f>
        <v>0</v>
      </c>
      <c r="F60" s="559">
        <v>0.125</v>
      </c>
      <c r="G60" s="331">
        <f>-ROUND(IF($C$9&lt;&gt;"PARA ASALARIADOS CON CATEGORÍA DE EMPLEADOS",IF(G61&lt;0,0,-IF($F$43*0.4&gt;Datos!H36,Datos!H36*$F$60,$F$43*0.4*$F$60)),IF(G61&lt;0,0,-IF($F$43*0.4&gt;Datos!H36,Datos!H36*$F$60,$F$43*0.4*$F$60))),-2)</f>
        <v>0</v>
      </c>
      <c r="H60" s="489"/>
      <c r="I60" s="275"/>
      <c r="J60" s="275"/>
      <c r="K60" s="331">
        <f>IF($C$9&lt;&gt;"PARA ASALARIADOS CON CATEGORÍA DE EMPLEADOS",IF(K61&lt;0,0,-IF($F$43*0.4&gt;$N$51,$N$51*$F$60,$F$43*0.4*$F$60)),IF(K61&lt;0,0,-IF($F$43*0.4&gt;$N$51,$N$51*$F$60,$F$43*0.4*$F$60)))</f>
        <v>0</v>
      </c>
      <c r="L60" s="275"/>
      <c r="M60" s="331">
        <f>IF(C9="PARA TRABAJADORES INDEPENDIENTES SIN CATEGORÍA DE EMPLEADOS",0,IF($C$9&lt;&gt;"PARA ASALARIADOS CON CATEGORÍA DE EMPLEADOS",IF(M61&lt;0,0,-IF($F$43*0.4&gt;$N$51,$N$51*$F$60,$F$43*0.4*$F$60)),IF(M61&lt;0,0,-IF($F$43*0.4&gt;$N$51,$N$51*$F$60,$F$43*0.4*$F$60))))</f>
        <v>0</v>
      </c>
      <c r="O60" s="217">
        <f>+G63+G73</f>
        <v>0</v>
      </c>
      <c r="R60" s="687"/>
    </row>
    <row r="61" spans="2:21" ht="30.95" customHeight="1" x14ac:dyDescent="0.25">
      <c r="B61" s="999">
        <f t="shared" si="1"/>
        <v>23</v>
      </c>
      <c r="C61" s="1019" t="s">
        <v>394</v>
      </c>
      <c r="D61" s="1020"/>
      <c r="E61" s="214">
        <f>IF(C9="PARA TRABAJADORES INDEPENDIENTES SIN CATEGORÍA DE EMPLEADOS",0,G61)</f>
        <v>0</v>
      </c>
      <c r="F61" s="559"/>
      <c r="G61" s="1000">
        <v>0</v>
      </c>
      <c r="H61" s="489"/>
      <c r="I61" s="592"/>
      <c r="J61" s="524"/>
      <c r="K61" s="280">
        <f>+E61</f>
        <v>0</v>
      </c>
      <c r="L61" s="215"/>
      <c r="M61" s="280">
        <f>IF(C9="PARA TRABAJADORES INDEPENDIENTES SIN CATEGORÍA DE EMPLEADOS",0,G61)</f>
        <v>0</v>
      </c>
      <c r="O61" s="217"/>
    </row>
    <row r="62" spans="2:21" x14ac:dyDescent="0.25">
      <c r="B62" s="904">
        <f t="shared" si="1"/>
        <v>24</v>
      </c>
      <c r="C62" s="285" t="s">
        <v>160</v>
      </c>
      <c r="D62" s="489"/>
      <c r="E62" s="330">
        <f>IF(C9="PARA TRABAJADORES INDEPENDIENTES SIN CATEGORÍA DE EMPLEADOS",0,IF(F42&gt;0,IF(E64&lt;0,0,-IF($F$42&gt;$N$51,$N$51*$F$62,$F$42*$F$62)),0))</f>
        <v>0</v>
      </c>
      <c r="F62" s="559">
        <f>IF(C9="PARA ASALARIADOS CON CATEGORÍA DE EMPLEADOS",IF(APPensiones!J3&gt;0,APPensiones!J3,APPensiones!J4),IF(APPensiones!J3&gt;0,APPensiones!J3,APPensiones!J4))</f>
        <v>0.04</v>
      </c>
      <c r="G62" s="331">
        <f>-ROUND(IF(F46&gt;0,IF(G64&lt;0,0,IF(SUM(F30:F36)&gt;Datos!H36,Datos!H36*F62,SUM(F30:F36)*$F$62)),0),-2)</f>
        <v>0</v>
      </c>
      <c r="H62" s="489"/>
      <c r="I62" s="275"/>
      <c r="J62" s="275"/>
      <c r="K62" s="331">
        <f>IF(F42&gt;0,IF(K64&lt;0,0,-IF($F$42&gt;$N$51,$N$51*$F$62,$F$42*$F$62)),0)</f>
        <v>0</v>
      </c>
      <c r="L62" s="275"/>
      <c r="M62" s="331">
        <f>IF($C$9="PARA TRABAJADORES INDEPENDIENTES SIN CATEGORÍA DE EMPLEADOS",0,IF(F42&gt;0,IF(M64&lt;0,0,-IF($F$42&gt;$N$51,$N$51*$F$62,$F$42*$F$62)),0))</f>
        <v>0</v>
      </c>
      <c r="N62" s="687">
        <f>+G15*3800</f>
        <v>121064200</v>
      </c>
      <c r="O62" s="687">
        <f>IF((F49+F50)&gt;O57,O57,F49+F50)</f>
        <v>0</v>
      </c>
      <c r="R62" s="687"/>
      <c r="U62" s="741"/>
    </row>
    <row r="63" spans="2:21" hidden="1" x14ac:dyDescent="0.25">
      <c r="B63" s="904">
        <f t="shared" si="1"/>
        <v>25</v>
      </c>
      <c r="C63" s="285" t="s">
        <v>161</v>
      </c>
      <c r="D63" s="489"/>
      <c r="E63" s="330">
        <f>IF(C9="PARA TRABAJADORES INDEPENDIENTES SIN CATEGORÍA DE EMPLEADOS",0,IF($C$9&lt;&gt;"PARA ASALARIADOS CON CATEGORÍA DE EMPLEADOS",IF(E64&lt;0,0,-IF($F$43*0.4&gt;$N$51,$N$51*$F$63,$F$43*0.4*$F$63)),IF(E64&lt;0,0,-IF($F$43*0.4&gt;$N$51,$N$51*$F$63,$F$43*0.4*$F$63))))</f>
        <v>0</v>
      </c>
      <c r="F63" s="559">
        <f>IF(C13="PARA ASALARIADOS CON CATEGORÍA DE EMPLEADOS",IF(APPensiones!J48&gt;0,APPensiones!J48,APPensiones!J49),IF(APPensiones!J48&gt;0,APPensiones!J48,APPensiones!J49)+12%)</f>
        <v>0.16</v>
      </c>
      <c r="G63" s="331">
        <f>IF($C$9&lt;&gt;"PARA ASALARIADOS CON CATEGORÍA DE EMPLEADOS",IF(G64&lt;0,0,-IF($F$43*0.4&gt;$N$51,$N$51*$F$63,$F$43*0.4*$F$63)),IF(G64&lt;0,0,-IF($F$43*0.4&gt;$N$51,$N$51*$F$63,$F$43*0.4*$F$63)))</f>
        <v>0</v>
      </c>
      <c r="H63" s="489"/>
      <c r="I63" s="275"/>
      <c r="J63" s="275"/>
      <c r="K63" s="331">
        <f>IF($C$9&lt;&gt;"PARA ASALARIADOS CON CATEGORÍA DE EMPLEADOS",IF(K64&lt;0,0,-IF($F$43*0.4&gt;$N$51,$N$51*$F$63,$F$43*0.4*$F$63)),IF(K64&lt;0,0,-IF($F$43*0.4&gt;$N$51,$N$51*$F$63,$F$43*0.4*$F$63)))</f>
        <v>0</v>
      </c>
      <c r="L63" s="275"/>
      <c r="M63" s="331">
        <f>IF(C9="PARA TRABAJADORES INDEPENDIENTES SIN CATEGORÍA DE EMPLEADOS",0,IF($C$9&lt;&gt;"PARA ASALARIADOS CON CATEGORÍA DE EMPLEADOS",IF(M64&lt;0,0,-IF($F$43*0.4&gt;$N$51,$N$51*$F$63,$F$43*0.4*$F$63)),IF(M64&lt;0,0,-IF($F$43*0.4&gt;$N$51,$N$51*$F$63,$F$43*0.4*$F$63))))</f>
        <v>0</v>
      </c>
      <c r="N63" s="687">
        <f>+G16*3800</f>
        <v>2803324600</v>
      </c>
      <c r="O63" s="687">
        <f>IF((F50+E53)&gt;O62,O62,F50+E53)</f>
        <v>0</v>
      </c>
      <c r="R63" s="687"/>
    </row>
    <row r="64" spans="2:21" ht="30.95" customHeight="1" thickBot="1" x14ac:dyDescent="0.3">
      <c r="B64" s="999">
        <f>+B62+1</f>
        <v>25</v>
      </c>
      <c r="C64" s="1019" t="s">
        <v>395</v>
      </c>
      <c r="D64" s="1020"/>
      <c r="E64" s="214">
        <f>IF(C9="PARA TRABAJADORES INDEPENDIENTES SIN CATEGORÍA DE EMPLEADOS",0,G64)</f>
        <v>-1.0000000000000001E-5</v>
      </c>
      <c r="F64" s="559"/>
      <c r="G64" s="1000">
        <v>-1.0000000000000001E-5</v>
      </c>
      <c r="H64" s="489"/>
      <c r="I64" s="592"/>
      <c r="J64" s="524"/>
      <c r="K64" s="280">
        <f>+E64</f>
        <v>-1.0000000000000001E-5</v>
      </c>
      <c r="L64" s="215"/>
      <c r="M64" s="280">
        <f>IF(C9="PARA TRABAJADORES INDEPENDIENTES SIN CATEGORÍA DE EMPLEADOS",0,G64)</f>
        <v>-1.0000000000000001E-5</v>
      </c>
      <c r="O64" s="687"/>
      <c r="R64" s="687"/>
    </row>
    <row r="65" spans="2:21" ht="15.75" hidden="1" thickBot="1" x14ac:dyDescent="0.3">
      <c r="B65" s="905">
        <f>+B63+1</f>
        <v>26</v>
      </c>
      <c r="C65" s="868" t="s">
        <v>121</v>
      </c>
      <c r="D65" s="869"/>
      <c r="E65" s="870">
        <f>IF(C9="PARA TRABAJADORES INDEPENDIENTES SIN CATEGORÍA DE EMPLEADOS",0,IF($C$9="PARA ASALARIADOS CON CATEGORÍA DE EMPLEADOS",0,IF(E66&lt;0,0,-IF($F$43*0.4&gt;$N$51,$N$51*$F$65,$F$43*0.4*$F$65))))</f>
        <v>0</v>
      </c>
      <c r="F65" s="871">
        <v>5.2199999999999998E-3</v>
      </c>
      <c r="G65" s="872">
        <f>IF(F43=0,0,IF(G66&lt;0,0,-IF($F$43*0.4&gt;$N$51,$N$51*$F$65,$F$43*0.4*$F$65)))</f>
        <v>0</v>
      </c>
      <c r="H65" s="489"/>
      <c r="I65" s="275"/>
      <c r="J65" s="275"/>
      <c r="K65" s="331">
        <f>IF($C$9="PARA ASALARIADOS CON CATEGORÍA DE EMPLEADOS",0,IF(K66&lt;0,0,-IF($F$43*0.4&gt;$N$51,$N$51*$F$65,$F$43*0.4*$F$65)))</f>
        <v>0</v>
      </c>
      <c r="L65" s="275"/>
      <c r="M65" s="331">
        <f>IF(C9="PARA TRABAJADORES INDEPENDIENTES SIN CATEGORÍA DE EMPLEADOS",0,IF($C$9="PARA ASALARIADOS CON CATEGORÍA DE EMPLEADOS",0,IF(M66&lt;0,0,-IF($F$43*0.4&gt;$N$51,$N$51*$F$65,$F$43*0.4*$F$65))))</f>
        <v>0</v>
      </c>
      <c r="O65" s="217"/>
    </row>
    <row r="66" spans="2:21" ht="15.75" hidden="1" thickBot="1" x14ac:dyDescent="0.3">
      <c r="B66" s="905">
        <f t="shared" si="1"/>
        <v>27</v>
      </c>
      <c r="C66" s="868" t="s">
        <v>119</v>
      </c>
      <c r="D66" s="869"/>
      <c r="E66" s="870">
        <f>IF(C9="PARA TRABAJADORES INDEPENDIENTES SIN CATEGORÍA DE EMPLEADOS",0,G66)</f>
        <v>0</v>
      </c>
      <c r="F66" s="873"/>
      <c r="G66" s="874">
        <v>0</v>
      </c>
      <c r="H66" s="489"/>
      <c r="I66" s="592"/>
      <c r="J66" s="524"/>
      <c r="K66" s="280">
        <f>+E66</f>
        <v>0</v>
      </c>
      <c r="L66" s="215"/>
      <c r="M66" s="280">
        <f>IF(C9="PARA TRABAJADORES INDEPENDIENTES SIN CATEGORÍA DE EMPLEADOS",0,G66)</f>
        <v>0</v>
      </c>
      <c r="O66" s="217"/>
    </row>
    <row r="67" spans="2:21" ht="15.75" thickBot="1" x14ac:dyDescent="0.3">
      <c r="B67" s="901">
        <f>+B64+1</f>
        <v>26</v>
      </c>
      <c r="C67" s="760" t="s">
        <v>356</v>
      </c>
      <c r="D67" s="756"/>
      <c r="E67" s="757"/>
      <c r="F67" s="762"/>
      <c r="G67" s="759">
        <f>SUM(G57:G66)</f>
        <v>-1.0000000000000001E-5</v>
      </c>
      <c r="H67" s="489"/>
      <c r="I67" s="544"/>
      <c r="J67" s="525"/>
      <c r="K67" s="506"/>
      <c r="L67" s="323"/>
      <c r="M67" s="502"/>
      <c r="O67" s="217"/>
      <c r="R67" s="687"/>
      <c r="S67" s="687"/>
    </row>
    <row r="68" spans="2:21" hidden="1" x14ac:dyDescent="0.25">
      <c r="B68" s="931">
        <f>+B65+1</f>
        <v>27</v>
      </c>
      <c r="C68" s="751" t="s">
        <v>223</v>
      </c>
      <c r="D68" s="752"/>
      <c r="E68" s="753"/>
      <c r="F68" s="754"/>
      <c r="G68" s="755"/>
      <c r="H68" s="489"/>
      <c r="I68" s="545"/>
      <c r="J68" s="275"/>
      <c r="K68" s="331"/>
      <c r="L68" s="323"/>
      <c r="M68" s="502"/>
      <c r="O68" s="217"/>
      <c r="R68" s="687"/>
      <c r="S68" s="687"/>
    </row>
    <row r="69" spans="2:21" s="610" customFormat="1" hidden="1" x14ac:dyDescent="0.25">
      <c r="B69" s="900">
        <f t="shared" si="1"/>
        <v>28</v>
      </c>
      <c r="C69" s="602"/>
      <c r="D69" s="603"/>
      <c r="E69" s="604"/>
      <c r="F69" s="605"/>
      <c r="G69" s="606"/>
      <c r="H69" s="607"/>
      <c r="I69" s="545"/>
      <c r="J69" s="275"/>
      <c r="K69" s="331"/>
      <c r="L69" s="323"/>
      <c r="M69" s="608"/>
      <c r="N69" s="322"/>
      <c r="O69" s="609"/>
      <c r="R69" s="322"/>
      <c r="S69" s="322"/>
    </row>
    <row r="70" spans="2:21" x14ac:dyDescent="0.25">
      <c r="B70" s="897"/>
      <c r="C70" s="554" t="s">
        <v>362</v>
      </c>
      <c r="D70" s="489"/>
      <c r="E70" s="330"/>
      <c r="F70" s="213"/>
      <c r="G70" s="331"/>
      <c r="H70" s="489"/>
      <c r="I70" s="275"/>
      <c r="J70" s="275"/>
      <c r="K70" s="331"/>
      <c r="L70" s="323"/>
      <c r="M70" s="502"/>
      <c r="O70" s="217"/>
      <c r="R70" s="687"/>
      <c r="S70" s="687"/>
    </row>
    <row r="71" spans="2:21" x14ac:dyDescent="0.25">
      <c r="B71" s="904">
        <f>+B67+1</f>
        <v>27</v>
      </c>
      <c r="C71" s="555" t="s">
        <v>207</v>
      </c>
      <c r="D71" s="489"/>
      <c r="E71" s="330"/>
      <c r="F71" s="213"/>
      <c r="G71" s="578">
        <v>0</v>
      </c>
      <c r="H71" s="489"/>
      <c r="I71" s="592"/>
      <c r="J71" s="275"/>
      <c r="K71" s="331"/>
      <c r="L71" s="323"/>
      <c r="M71" s="502"/>
      <c r="O71" s="217"/>
      <c r="R71" s="687"/>
      <c r="S71" s="687"/>
    </row>
    <row r="72" spans="2:21" ht="15.75" thickBot="1" x14ac:dyDescent="0.3">
      <c r="B72" s="897"/>
      <c r="C72" s="554" t="s">
        <v>299</v>
      </c>
      <c r="D72" s="489"/>
      <c r="E72" s="330"/>
      <c r="F72" s="559"/>
      <c r="G72" s="529"/>
      <c r="H72" s="489"/>
      <c r="I72" s="545"/>
      <c r="J72" s="275"/>
      <c r="K72" s="331"/>
      <c r="L72" s="323"/>
      <c r="M72" s="502"/>
      <c r="O72" s="217"/>
      <c r="R72" s="687"/>
      <c r="S72" s="687"/>
    </row>
    <row r="73" spans="2:21" ht="15.75" customHeight="1" thickTop="1" x14ac:dyDescent="0.25">
      <c r="B73" s="904">
        <f>+B71+1</f>
        <v>28</v>
      </c>
      <c r="C73" s="285" t="s">
        <v>332</v>
      </c>
      <c r="D73" s="489"/>
      <c r="E73" s="214">
        <v>0</v>
      </c>
      <c r="F73" s="731">
        <f>16*12</f>
        <v>192</v>
      </c>
      <c r="G73" s="280">
        <f>-ROUND(IF($F$51&gt;$F$73*$G$15,$F$73*$G$15,$F$51),-3)</f>
        <v>0</v>
      </c>
      <c r="H73" s="489"/>
      <c r="I73" s="524"/>
      <c r="J73" s="524"/>
      <c r="K73" s="280">
        <v>0</v>
      </c>
      <c r="L73" s="215"/>
      <c r="M73" s="280">
        <f>IF(C9="PARA TRABAJADORES INDEPENDIENTES SIN CATEGORÍA DE EMPLEADOS",0,-IF($F$51&gt;$F$73*$G$15,$F$73*$G$15,$F$51))</f>
        <v>0</v>
      </c>
      <c r="P73" s="154" t="e">
        <f>IF(O57&lt;IF((+M57-M80)&gt;0,0,-(+M57-M80)),IF(-(+M57-M80)&gt;0,0,-(+M57-M80)),-O57-M62)</f>
        <v>#REF!</v>
      </c>
      <c r="U73" s="747" t="s">
        <v>304</v>
      </c>
    </row>
    <row r="74" spans="2:21" x14ac:dyDescent="0.25">
      <c r="B74" s="904">
        <f>+B73+1</f>
        <v>29</v>
      </c>
      <c r="C74" s="285" t="s">
        <v>331</v>
      </c>
      <c r="D74" s="489"/>
      <c r="E74" s="214">
        <v>0</v>
      </c>
      <c r="F74" s="731">
        <v>1200</v>
      </c>
      <c r="G74" s="280">
        <f>-ROUND(IF($F$52&gt;$G$15*$F$74,$G$15*$F$74,$F$52),-3)</f>
        <v>0</v>
      </c>
      <c r="H74" s="489"/>
      <c r="I74" s="524"/>
      <c r="J74" s="524"/>
      <c r="K74" s="280">
        <v>0</v>
      </c>
      <c r="L74" s="215"/>
      <c r="M74" s="327" t="e">
        <f>IF(#REF!&gt;-G15*F74,#REF!,IF(#REF!&lt;0,IF(C9="PARA TRABAJADORES INDEPENDIENTES SIN CATEGORÍA DE EMPLEADOS",0,-IF($F$52&gt;$G$15*$F$74,$G$15*$F$74,$F$52)),#REF!))</f>
        <v>#REF!</v>
      </c>
      <c r="U74" s="748" t="s">
        <v>305</v>
      </c>
    </row>
    <row r="75" spans="2:21" ht="19.5" thickBot="1" x14ac:dyDescent="0.35">
      <c r="B75" s="904">
        <f t="shared" si="1"/>
        <v>30</v>
      </c>
      <c r="C75" s="285" t="s">
        <v>333</v>
      </c>
      <c r="D75" s="489"/>
      <c r="E75" s="504">
        <v>0</v>
      </c>
      <c r="F75" s="1008" t="s">
        <v>83</v>
      </c>
      <c r="G75" s="826">
        <f>ROUND(-IF($F$75="SI",IF(G57*0.1&lt;384*$G$15,G57*0.1,384*$G$15),0),-3)</f>
        <v>0</v>
      </c>
      <c r="H75" s="689"/>
      <c r="I75" s="546"/>
      <c r="J75" s="526"/>
      <c r="K75" s="505">
        <v>0</v>
      </c>
      <c r="L75" s="215"/>
      <c r="M75" s="280">
        <f>-IF($F$75="SI",IF(M57*0.1&lt;32*$G$15,M57*0.1,32*$G$15),0)</f>
        <v>0</v>
      </c>
      <c r="O75" s="687"/>
      <c r="R75" s="687"/>
      <c r="U75" s="749">
        <f>ROUND(IF(U78&lt;F49+F50,-(F49+F50)+U78,G78+U78),-3)</f>
        <v>0</v>
      </c>
    </row>
    <row r="76" spans="2:21" ht="15.75" customHeight="1" thickBot="1" x14ac:dyDescent="0.3">
      <c r="B76" s="897"/>
      <c r="C76" s="554" t="s">
        <v>330</v>
      </c>
      <c r="D76" s="489"/>
      <c r="E76" s="330"/>
      <c r="F76" s="1009"/>
      <c r="G76" s="1007"/>
      <c r="H76" s="489"/>
      <c r="I76" s="275"/>
      <c r="J76" s="275"/>
      <c r="K76" s="331"/>
      <c r="L76" s="323"/>
      <c r="M76" s="502"/>
      <c r="O76" s="217"/>
      <c r="R76" s="687"/>
      <c r="S76" s="687"/>
      <c r="U76" s="748" t="s">
        <v>293</v>
      </c>
    </row>
    <row r="77" spans="2:21" ht="15" hidden="1" customHeight="1" x14ac:dyDescent="0.25">
      <c r="B77" s="906"/>
      <c r="C77" s="489"/>
      <c r="D77" s="489"/>
      <c r="E77" s="489"/>
      <c r="F77" s="489"/>
      <c r="G77" s="550"/>
      <c r="H77" s="489"/>
      <c r="I77" s="524"/>
      <c r="J77" s="524"/>
      <c r="L77" s="215"/>
      <c r="M77" s="280">
        <f>IF(C9="PARA TRABAJADORES INDEPENDIENTES SIN CATEGORÍA DE EMPLEADOS",0,-IF(M86*25%/75%&gt;G15*F81,G15*F81,M86*25%/75%))</f>
        <v>0</v>
      </c>
      <c r="Q77" s="566"/>
    </row>
    <row r="78" spans="2:21" ht="19.5" thickBot="1" x14ac:dyDescent="0.35">
      <c r="B78" s="904">
        <f>+B75+1</f>
        <v>31</v>
      </c>
      <c r="C78" s="285" t="s">
        <v>354</v>
      </c>
      <c r="D78" s="750" t="str">
        <f>IF(U75=0,"O.K.","NO")</f>
        <v>O.K.</v>
      </c>
      <c r="E78" s="330">
        <v>0</v>
      </c>
      <c r="F78" s="559">
        <v>0.3</v>
      </c>
      <c r="G78" s="331">
        <f>ROUND(IF(-IF(+F49+F50&gt;G57*0.3,G57*0.3,F49+F50)&lt;-Datos!G29,-Datos!G29,-IF(+F49+F50&gt;G57*0.3,G57*0.3,+F49+F50)),-3)</f>
        <v>0</v>
      </c>
      <c r="H78" s="728"/>
      <c r="I78" s="275"/>
      <c r="J78" s="275"/>
      <c r="K78" s="331">
        <v>0</v>
      </c>
      <c r="L78" s="323"/>
      <c r="M78" s="327" t="e">
        <f>IF(IF(IF(#REF!&gt;0,0,+#REF!)&lt;-N78,-N78-M62-M63-M64,IF(#REF!&gt;0,0,+#REF!))&lt;-M57*0.3,-M57*0.3-M62-M63-M64,IF(IF(#REF!&gt;0,0,+#REF!)&lt;-N78,-N78-M62-M63-M64,IF(#REF!&gt;0,0,+#REF!)))</f>
        <v>#REF!</v>
      </c>
      <c r="N78" s="322"/>
      <c r="O78" s="687" t="e">
        <f>+M62+M78</f>
        <v>#REF!</v>
      </c>
      <c r="P78" s="154" t="e">
        <f>IF(O57&lt;IF((+M57+M62+M59+M73+M74+M75-M80)&gt;0,0,-(+M57+M62+M59+M73+M74+M75-M80)),IF(-(+M57+M62+M59+M73+M74+M75-M80)&gt;0,0,-(+M57+M62+M59+M73+M74+M75-M80)),-O57-M62)</f>
        <v>#REF!</v>
      </c>
      <c r="R78" s="687"/>
      <c r="S78" s="687"/>
      <c r="U78" s="749">
        <f>ROUND(IF((G67*0.2+G73+G74+G75)&gt;Datos!G29,Datos!G29,(G67*0.2+G73+G74+G75)),-3)</f>
        <v>0</v>
      </c>
    </row>
    <row r="79" spans="2:21" ht="15.75" thickBot="1" x14ac:dyDescent="0.3">
      <c r="B79" s="904">
        <f>+B78+1</f>
        <v>32</v>
      </c>
      <c r="C79" s="285" t="s">
        <v>334</v>
      </c>
      <c r="D79" s="489"/>
      <c r="E79" s="330"/>
      <c r="F79" s="559"/>
      <c r="G79" s="578">
        <v>0</v>
      </c>
      <c r="H79" s="728"/>
      <c r="I79" s="275"/>
      <c r="J79" s="275"/>
      <c r="K79" s="331"/>
      <c r="L79" s="323"/>
      <c r="M79" s="502"/>
      <c r="O79" s="217"/>
      <c r="R79" s="687"/>
      <c r="S79" s="687"/>
      <c r="U79" s="768"/>
    </row>
    <row r="80" spans="2:21" ht="15.75" thickBot="1" x14ac:dyDescent="0.3">
      <c r="B80" s="901">
        <f t="shared" si="1"/>
        <v>33</v>
      </c>
      <c r="C80" s="760" t="s">
        <v>357</v>
      </c>
      <c r="D80" s="756"/>
      <c r="E80" s="757">
        <f>SUM(E57:E79)</f>
        <v>-1.0000000000000001E-5</v>
      </c>
      <c r="F80" s="758"/>
      <c r="G80" s="759">
        <f>SUM(G67:G79)</f>
        <v>-1.0000000000000001E-5</v>
      </c>
      <c r="H80" s="489"/>
      <c r="I80" s="547"/>
      <c r="J80" s="524"/>
      <c r="K80" s="216">
        <f>IF(SUM(K57:K79)&lt;0,0,SUM(K57:K79))</f>
        <v>0</v>
      </c>
      <c r="L80" s="266"/>
      <c r="M80" s="281" t="e">
        <f>IF(+M86-M77=0,SUM(M57:M79),+M86-M77)</f>
        <v>#REF!</v>
      </c>
      <c r="N80" s="687" t="e">
        <f>SUM(M57:M79)</f>
        <v>#REF!</v>
      </c>
      <c r="O80" s="687" t="e">
        <f>ROUND(+M80-N80,0)</f>
        <v>#REF!</v>
      </c>
    </row>
    <row r="81" spans="2:22" ht="15.75" thickBot="1" x14ac:dyDescent="0.3">
      <c r="B81" s="907">
        <f t="shared" si="1"/>
        <v>34</v>
      </c>
      <c r="C81" s="494" t="s">
        <v>346</v>
      </c>
      <c r="D81" s="730"/>
      <c r="E81" s="214">
        <v>0</v>
      </c>
      <c r="F81" s="731">
        <v>2880</v>
      </c>
      <c r="G81" s="280">
        <f>ROUND(-IF(G80*25%&gt;G15*F81,G15*F81,G80*25%),-3)</f>
        <v>0</v>
      </c>
      <c r="H81" s="489"/>
      <c r="I81" s="547"/>
      <c r="J81" s="524"/>
      <c r="K81" s="216"/>
      <c r="L81" s="215"/>
      <c r="M81" s="745"/>
      <c r="O81" s="687"/>
    </row>
    <row r="82" spans="2:22" ht="15.75" thickBot="1" x14ac:dyDescent="0.3">
      <c r="B82" s="901">
        <f t="shared" si="1"/>
        <v>35</v>
      </c>
      <c r="C82" s="760" t="s">
        <v>358</v>
      </c>
      <c r="D82" s="756"/>
      <c r="E82" s="757">
        <f>SUM(E59:E81)</f>
        <v>-2.0000000000000002E-5</v>
      </c>
      <c r="F82" s="758"/>
      <c r="G82" s="759">
        <f>SUM(G80:G81)</f>
        <v>-1.0000000000000001E-5</v>
      </c>
      <c r="H82" s="489"/>
      <c r="I82" s="547"/>
      <c r="J82" s="524"/>
      <c r="K82" s="216"/>
      <c r="L82" s="215"/>
      <c r="M82" s="745"/>
      <c r="O82" s="687"/>
    </row>
    <row r="83" spans="2:22" x14ac:dyDescent="0.25">
      <c r="B83" s="907">
        <f t="shared" si="1"/>
        <v>36</v>
      </c>
      <c r="C83" s="494" t="s">
        <v>290</v>
      </c>
      <c r="D83" s="489"/>
      <c r="E83" s="214"/>
      <c r="F83" s="731">
        <f>-(G78+G79+G73+G74+G75+G81)</f>
        <v>0</v>
      </c>
      <c r="G83" s="280"/>
      <c r="H83" s="489"/>
      <c r="I83" s="524"/>
      <c r="J83" s="524"/>
      <c r="K83" s="216">
        <f>IF(C9="PARA TRABAJADORES INDEPENDIENTES SIN CATEGORÍA DE EMPLEADOS",0,IF(C9="PARA TRABAJADORES INDEPENDIENTES SIN CATEGORÍA DE EMPLEADOS",0,-IF(K80*25%&gt;G15*F81,G15*F81,K80*25%)))</f>
        <v>0</v>
      </c>
      <c r="L83" s="215"/>
      <c r="M83" s="280"/>
      <c r="Q83" s="729"/>
    </row>
    <row r="84" spans="2:22" x14ac:dyDescent="0.25">
      <c r="B84" s="907">
        <f t="shared" si="1"/>
        <v>37</v>
      </c>
      <c r="C84" s="494" t="s">
        <v>365</v>
      </c>
      <c r="D84" s="489"/>
      <c r="E84" s="214"/>
      <c r="F84" s="731">
        <f>IF(G67*0.4&gt;5040*G15,ROUND(5040*G15,-3),G67*0.4)</f>
        <v>-4.0000000000000007E-6</v>
      </c>
      <c r="G84" s="280"/>
      <c r="H84" s="489"/>
      <c r="I84" s="524"/>
      <c r="J84" s="524"/>
      <c r="K84" s="524"/>
      <c r="L84" s="215"/>
      <c r="M84" s="280"/>
      <c r="Q84" s="729"/>
      <c r="V84" s="741"/>
    </row>
    <row r="85" spans="2:22" ht="15.75" thickBot="1" x14ac:dyDescent="0.3">
      <c r="B85" s="907">
        <f t="shared" si="1"/>
        <v>38</v>
      </c>
      <c r="C85" s="494" t="s">
        <v>369</v>
      </c>
      <c r="D85" s="489"/>
      <c r="E85" s="214"/>
      <c r="F85" s="218"/>
      <c r="G85" s="280">
        <f>IF(F83&gt;F84,+F83-F84,0)</f>
        <v>4.0000000000000007E-6</v>
      </c>
      <c r="H85" s="489"/>
      <c r="I85" s="524"/>
      <c r="J85" s="524"/>
      <c r="K85" s="524"/>
      <c r="L85" s="215"/>
      <c r="M85" s="280"/>
      <c r="Q85" s="729"/>
    </row>
    <row r="86" spans="2:22" ht="15.75" thickBot="1" x14ac:dyDescent="0.3">
      <c r="B86" s="901">
        <f t="shared" si="1"/>
        <v>39</v>
      </c>
      <c r="C86" s="760" t="s">
        <v>300</v>
      </c>
      <c r="D86" s="761"/>
      <c r="E86" s="757">
        <f>+E80+E81</f>
        <v>-1.0000000000000001E-5</v>
      </c>
      <c r="F86" s="758"/>
      <c r="G86" s="759">
        <f>+G82+G85</f>
        <v>-6.0000000000000002E-6</v>
      </c>
      <c r="H86" s="489"/>
      <c r="I86" s="545"/>
      <c r="J86" s="275"/>
      <c r="K86" s="331">
        <f>+K80+K83</f>
        <v>0</v>
      </c>
      <c r="L86" s="323"/>
      <c r="M86" s="502">
        <f>+M87*G15</f>
        <v>0</v>
      </c>
      <c r="O86" s="687" t="s">
        <v>144</v>
      </c>
      <c r="P86" s="154" t="s">
        <v>145</v>
      </c>
      <c r="R86" s="687"/>
      <c r="S86" s="687"/>
      <c r="U86" s="741"/>
    </row>
    <row r="87" spans="2:22" x14ac:dyDescent="0.25">
      <c r="B87" s="904">
        <f t="shared" si="1"/>
        <v>40</v>
      </c>
      <c r="C87" s="285" t="s">
        <v>301</v>
      </c>
      <c r="D87" s="489"/>
      <c r="E87" s="220">
        <f>+E86/$G$15</f>
        <v>-3.13883047176622E-10</v>
      </c>
      <c r="F87" s="209"/>
      <c r="G87" s="282">
        <f>IF(G86&gt;0,G86/$G$15,0)</f>
        <v>0</v>
      </c>
      <c r="H87" s="489"/>
      <c r="I87" s="548"/>
      <c r="J87" s="527"/>
      <c r="K87" s="222">
        <f>IF(E9="PARA TRABAJADORES INDEPENDIENTES SIN CATEGORÍA DE EMPLEADOS",0,+K86/$G$15)</f>
        <v>0</v>
      </c>
      <c r="L87" s="221"/>
      <c r="M87" s="282">
        <f>IF(C9="PARA TRABAJADORES INDEPENDIENTES sin CATEGORÍA DE EMPLEADOS",0,VLOOKUP(N87,'RF Ordinaria'!G23:H26,2,FALSE))</f>
        <v>0</v>
      </c>
      <c r="N87" s="223" t="s">
        <v>112</v>
      </c>
      <c r="O87" s="341">
        <f>+M86</f>
        <v>0</v>
      </c>
      <c r="P87" s="341">
        <f>+M86</f>
        <v>0</v>
      </c>
      <c r="S87" s="689"/>
    </row>
    <row r="88" spans="2:22" ht="15.75" thickBot="1" x14ac:dyDescent="0.3">
      <c r="B88" s="904">
        <f t="shared" si="1"/>
        <v>41</v>
      </c>
      <c r="C88" s="285" t="s">
        <v>302</v>
      </c>
      <c r="D88" s="489"/>
      <c r="E88" s="220">
        <f>+E87/$G$15</f>
        <v>-9.8522567304881513E-15</v>
      </c>
      <c r="F88" s="209"/>
      <c r="G88" s="744">
        <f>IF(G86&gt;0,G89/G87,0)</f>
        <v>0</v>
      </c>
      <c r="H88" s="489"/>
      <c r="I88" s="549"/>
      <c r="J88" s="527"/>
      <c r="K88" s="222"/>
      <c r="L88" s="221"/>
      <c r="M88" s="282"/>
      <c r="N88" s="223"/>
      <c r="O88" s="341"/>
      <c r="P88" s="341"/>
      <c r="U88" s="743"/>
    </row>
    <row r="89" spans="2:22" ht="15.75" thickBot="1" x14ac:dyDescent="0.3">
      <c r="B89" s="917">
        <f t="shared" si="1"/>
        <v>42</v>
      </c>
      <c r="C89" s="700" t="s">
        <v>303</v>
      </c>
      <c r="D89" s="701"/>
      <c r="E89" s="702"/>
      <c r="F89" s="703"/>
      <c r="G89" s="734">
        <f>IF(G86&gt;0,IF('Impto ROrdinario'!B2=0,'Impto ROrdinario'!B3,'Impto ROrdinario'!B2),0)</f>
        <v>0</v>
      </c>
      <c r="H89" s="512"/>
      <c r="I89" s="564"/>
      <c r="J89" s="711">
        <f>IF(C9="PARA TRABAJADORES INDEPENDIENTES SIN CATEGORÍA DE EMPLEADOS",0,+'RF Ordinaria'!F36)</f>
        <v>0</v>
      </c>
      <c r="K89" s="712">
        <f>IF(C9="PARA TRABAJADORES INDEPENDIENTES SIN CATEGORÍA DE EMPLEADOS",K86*#REF!,+J89*G15)</f>
        <v>0</v>
      </c>
      <c r="L89" s="713">
        <f>+F89</f>
        <v>0</v>
      </c>
      <c r="M89" s="714">
        <f>+E89</f>
        <v>0</v>
      </c>
      <c r="N89" s="277"/>
      <c r="O89" s="341">
        <f>+M77</f>
        <v>0</v>
      </c>
      <c r="P89" s="341">
        <f>+M77</f>
        <v>0</v>
      </c>
    </row>
    <row r="90" spans="2:22" ht="15.75" thickBot="1" x14ac:dyDescent="0.3">
      <c r="B90" s="918">
        <f>+B89+1</f>
        <v>43</v>
      </c>
      <c r="C90" s="696"/>
      <c r="D90" s="697"/>
      <c r="E90" s="697"/>
      <c r="F90" s="698" t="s">
        <v>363</v>
      </c>
      <c r="G90" s="699">
        <f>ROUND(+G89*G15,-3)</f>
        <v>0</v>
      </c>
      <c r="N90" s="268" t="s">
        <v>125</v>
      </c>
    </row>
    <row r="91" spans="2:22" ht="18" x14ac:dyDescent="0.25">
      <c r="G91" s="689"/>
      <c r="N91" s="270">
        <v>3.5000000000000003E-2</v>
      </c>
      <c r="O91" s="226"/>
    </row>
    <row r="92" spans="2:22" x14ac:dyDescent="0.25">
      <c r="G92" s="741"/>
      <c r="N92" s="270">
        <v>0.04</v>
      </c>
    </row>
    <row r="93" spans="2:22" x14ac:dyDescent="0.25">
      <c r="N93" s="270">
        <v>0.06</v>
      </c>
    </row>
    <row r="94" spans="2:22" x14ac:dyDescent="0.25">
      <c r="N94" s="270">
        <v>0.1</v>
      </c>
    </row>
    <row r="95" spans="2:22" x14ac:dyDescent="0.25">
      <c r="N95" s="270">
        <v>0.11</v>
      </c>
    </row>
    <row r="96" spans="2:22" x14ac:dyDescent="0.25">
      <c r="N96" s="270"/>
    </row>
  </sheetData>
  <sheetProtection password="941B" sheet="1" objects="1" scenarios="1"/>
  <mergeCells count="5">
    <mergeCell ref="J55:K55"/>
    <mergeCell ref="L55:M55"/>
    <mergeCell ref="B23:F23"/>
    <mergeCell ref="C61:D61"/>
    <mergeCell ref="C64:D64"/>
  </mergeCells>
  <conditionalFormatting sqref="Q83:Q85 Q77">
    <cfRule type="cellIs" dxfId="30" priority="15" stopIfTrue="1" operator="equal">
      <formula>"ERROR"</formula>
    </cfRule>
    <cfRule type="cellIs" dxfId="29" priority="16" stopIfTrue="1" operator="equal">
      <formula>"OK"</formula>
    </cfRule>
  </conditionalFormatting>
  <conditionalFormatting sqref="C53:M53">
    <cfRule type="cellIs" dxfId="28" priority="14" stopIfTrue="1" operator="equal">
      <formula>"ATENCIÓN: EL CONTRIBUYENTE TIENE LA CATEGORÍA DE EMPLEADO Y USTED ELIGIÓ A UN INDEPENDIENTE SIN CATEGORÍA DE EMPLEADO"</formula>
    </cfRule>
  </conditionalFormatting>
  <conditionalFormatting sqref="C54:M54">
    <cfRule type="cellIs" dxfId="27" priority="12" stopIfTrue="1" operator="equal">
      <formula>"ATENCIÓN: EL CONTRIBUYENTE ES INDEPENDIENTE CON CATEGORÍA DE EMPLEADO Y USTED ELIGIÓ A UN ASALARIADO CON CATEGORÍA DE EMPLEADO"</formula>
    </cfRule>
    <cfRule type="cellIs" dxfId="26" priority="13" stopIfTrue="1" operator="equal">
      <formula>"ATENCIÓN: ELIJA LA OPCIÓN ADECUADA SEGÚN EL MONTO DE LOS INGRESOS"</formula>
    </cfRule>
  </conditionalFormatting>
  <conditionalFormatting sqref="D78">
    <cfRule type="cellIs" dxfId="25" priority="10" operator="equal">
      <formula>"NO"</formula>
    </cfRule>
    <cfRule type="cellIs" dxfId="24" priority="11" operator="equal">
      <formula>"O.K."</formula>
    </cfRule>
  </conditionalFormatting>
  <conditionalFormatting sqref="B54">
    <cfRule type="cellIs" dxfId="23" priority="1" stopIfTrue="1" operator="equal">
      <formula>"ATENCIÓN: EL CONTRIBUYENTE ES INDEPENDIENTE CON CATEGORÍA DE EMPLEADO Y USTED ELIGIÓ A UN ASALARIADO CON CATEGORÍA DE EMPLEADO"</formula>
    </cfRule>
    <cfRule type="cellIs" dxfId="22" priority="2" stopIfTrue="1" operator="equal">
      <formula>"ATENCIÓN: ELIJA LA OPCIÓN ADECUADA SEGÚN EL MONTO DE LOS INGRESOS"</formula>
    </cfRule>
  </conditionalFormatting>
  <conditionalFormatting sqref="B53">
    <cfRule type="cellIs" dxfId="21" priority="3" stopIfTrue="1" operator="equal">
      <formula>"ATENCIÓN: EL CONTRIBUYENTE TIENE LA CATEGORÍA DE EMPLEADO Y USTED ELIGIÓ A UN INDEPENDIENTE SIN CATEGORÍA DE EMPLEADO"</formula>
    </cfRule>
  </conditionalFormatting>
  <dataValidations disablePrompts="1" count="8">
    <dataValidation type="list" allowBlank="1" showInputMessage="1" showErrorMessage="1" sqref="E13">
      <formula1>$N$91:$N$96</formula1>
    </dataValidation>
    <dataValidation type="list" allowBlank="1" showInputMessage="1" showErrorMessage="1" sqref="F65">
      <formula1>_​0.522</formula1>
    </dataValidation>
    <dataValidation type="list" allowBlank="1" showInputMessage="1" showErrorMessage="1" sqref="F75">
      <formula1>$N$12:$N$13</formula1>
    </dataValidation>
    <dataValidation type="list" allowBlank="1" showInputMessage="1" showErrorMessage="1" sqref="D47">
      <formula1>$O$10:$O$13</formula1>
    </dataValidation>
    <dataValidation type="decimal" allowBlank="1" showInputMessage="1" showErrorMessage="1" errorTitle="Por favor verifique!" error="Los valores de ésta casilla deben ser negativos" sqref="G64">
      <formula1>-9.99999999999999E+40</formula1>
      <formula2>0</formula2>
    </dataValidation>
    <dataValidation type="decimal" allowBlank="1" showInputMessage="1" showErrorMessage="1" errorTitle="Por favor verifique!" error="El valor de ésta casilla debe ser negativo" sqref="G66">
      <formula1>-9.99999999999999E+35</formula1>
      <formula2>0</formula2>
    </dataValidation>
    <dataValidation type="decimal" allowBlank="1" showInputMessage="1" showErrorMessage="1" errorTitle="Por favor verifique!" error="El valor consignado en ésta casilla debe ser negativo" sqref="G71 G79">
      <formula1>-9.99999999999999E+31</formula1>
      <formula2>0</formula2>
    </dataValidation>
    <dataValidation type="decimal" allowBlank="1" showInputMessage="1" showErrorMessage="1" errorTitle="Por favor verifique!" error="El valor de ésta casilla debe ser negativo" sqref="G61">
      <formula1>-9.99999999999999E+27</formula1>
      <formula2>0</formula2>
    </dataValidation>
  </dataValidations>
  <printOptions horizontalCentered="1" verticalCentered="1"/>
  <pageMargins left="0.51181102362204722" right="0.51181102362204722" top="0.35433070866141736" bottom="0.35433070866141736" header="0.31496062992125984" footer="0.31496062992125984"/>
  <pageSetup scale="70" orientation="portrait" horizontalDpi="360" verticalDpi="360"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I42"/>
  <sheetViews>
    <sheetView showGridLines="0" zoomScale="120" zoomScaleNormal="120" workbookViewId="0">
      <selection activeCell="A34" sqref="A34"/>
    </sheetView>
  </sheetViews>
  <sheetFormatPr baseColWidth="10" defaultRowHeight="12.75" x14ac:dyDescent="0.2"/>
  <cols>
    <col min="1" max="1" width="63.28515625" style="782" customWidth="1"/>
    <col min="2" max="2" width="24" style="782" customWidth="1"/>
    <col min="3" max="3" width="3.85546875" style="782" customWidth="1"/>
    <col min="4" max="5" width="0.7109375" style="781" customWidth="1"/>
    <col min="6" max="6" width="25.5703125" style="781" customWidth="1"/>
    <col min="7" max="7" width="23.7109375" style="781" customWidth="1"/>
    <col min="8" max="8" width="11.28515625" style="781" bestFit="1" customWidth="1"/>
    <col min="9" max="9" width="28.5703125" style="781" customWidth="1"/>
    <col min="10" max="10" width="14.85546875" style="782" customWidth="1"/>
    <col min="11" max="16384" width="11.42578125" style="782"/>
  </cols>
  <sheetData>
    <row r="15" spans="1:9" ht="13.5" thickBot="1" x14ac:dyDescent="0.25"/>
    <row r="16" spans="1:9" s="778" customFormat="1" ht="20.25" thickTop="1" x14ac:dyDescent="0.2">
      <c r="A16" s="1041" t="str">
        <f>IF('Declaración de Renta'!B23&lt;&gt;0,'Declaración de Renta'!B23,"")</f>
        <v/>
      </c>
      <c r="B16" s="1042"/>
      <c r="C16" s="1042"/>
      <c r="D16" s="1042"/>
      <c r="E16" s="1042"/>
      <c r="F16" s="1042"/>
      <c r="G16" s="1043"/>
      <c r="H16" s="776"/>
      <c r="I16" s="777"/>
    </row>
    <row r="17" spans="1:9" s="778" customFormat="1" ht="19.5" x14ac:dyDescent="0.25">
      <c r="A17" s="988" t="s">
        <v>306</v>
      </c>
      <c r="B17" s="779"/>
      <c r="C17" s="779"/>
      <c r="D17" s="780"/>
      <c r="E17" s="780"/>
      <c r="F17" s="780"/>
      <c r="G17" s="832"/>
      <c r="H17" s="776"/>
      <c r="I17" s="777"/>
    </row>
    <row r="18" spans="1:9" ht="7.5" customHeight="1" x14ac:dyDescent="0.2">
      <c r="A18" s="831"/>
      <c r="B18" s="779"/>
      <c r="C18" s="779"/>
      <c r="D18" s="780"/>
      <c r="E18" s="780"/>
      <c r="F18" s="780"/>
      <c r="G18" s="832"/>
    </row>
    <row r="19" spans="1:9" s="984" customFormat="1" ht="14.25" hidden="1" x14ac:dyDescent="0.2">
      <c r="A19" s="978"/>
      <c r="B19" s="979"/>
      <c r="C19" s="979"/>
      <c r="D19" s="980"/>
      <c r="E19" s="980"/>
      <c r="F19" s="981" t="s">
        <v>307</v>
      </c>
      <c r="G19" s="982"/>
      <c r="H19" s="983"/>
      <c r="I19" s="983"/>
    </row>
    <row r="20" spans="1:9" s="984" customFormat="1" ht="14.25" hidden="1" x14ac:dyDescent="0.2">
      <c r="A20" s="985"/>
      <c r="B20" s="979"/>
      <c r="C20" s="979"/>
      <c r="D20" s="986"/>
      <c r="E20" s="986"/>
      <c r="F20" s="981" t="s">
        <v>308</v>
      </c>
      <c r="G20" s="982"/>
      <c r="H20" s="983"/>
      <c r="I20" s="983"/>
    </row>
    <row r="21" spans="1:9" s="984" customFormat="1" ht="14.25" hidden="1" x14ac:dyDescent="0.2">
      <c r="A21" s="978"/>
      <c r="B21" s="979"/>
      <c r="C21" s="979"/>
      <c r="D21" s="986"/>
      <c r="E21" s="986"/>
      <c r="F21" s="981" t="s">
        <v>309</v>
      </c>
      <c r="G21" s="987" t="e">
        <f>(ROUND(DAYS360((EOMONTH(G19,-1)+1),(IF(EOMONTH(G20,0)=G20,EOMONTH(G20,0),EOMONTH(G20,-1))))/30,0)*30+(IF(EOMONTH(G20,0)=G20,0, DAY(G20))-DAY(G19)))+1</f>
        <v>#NUM!</v>
      </c>
      <c r="H21" s="983"/>
      <c r="I21" s="983"/>
    </row>
    <row r="22" spans="1:9" ht="4.5" customHeight="1" thickBot="1" x14ac:dyDescent="0.25">
      <c r="A22" s="833"/>
      <c r="B22" s="834"/>
      <c r="C22" s="834"/>
      <c r="D22" s="835"/>
      <c r="E22" s="835"/>
      <c r="F22" s="836"/>
      <c r="G22" s="837"/>
    </row>
    <row r="23" spans="1:9" ht="15.75" hidden="1" thickTop="1" thickBot="1" x14ac:dyDescent="0.25">
      <c r="A23" s="838" t="s">
        <v>310</v>
      </c>
      <c r="B23" s="783" t="s">
        <v>311</v>
      </c>
      <c r="C23" s="783" t="s">
        <v>312</v>
      </c>
      <c r="D23" s="784" t="s">
        <v>313</v>
      </c>
      <c r="E23" s="784" t="s">
        <v>314</v>
      </c>
      <c r="F23" s="785" t="s">
        <v>315</v>
      </c>
      <c r="G23" s="839" t="s">
        <v>316</v>
      </c>
    </row>
    <row r="24" spans="1:9" ht="20.25" customHeight="1" thickTop="1" x14ac:dyDescent="0.2">
      <c r="A24" s="840" t="s">
        <v>317</v>
      </c>
      <c r="B24" s="786"/>
      <c r="C24" s="786"/>
      <c r="D24" s="787"/>
      <c r="E24" s="787"/>
      <c r="F24" s="788"/>
      <c r="G24" s="841" t="s">
        <v>213</v>
      </c>
    </row>
    <row r="25" spans="1:9" ht="20.25" hidden="1" customHeight="1" x14ac:dyDescent="0.2">
      <c r="A25" s="842" t="s">
        <v>318</v>
      </c>
      <c r="B25" s="789"/>
      <c r="C25" s="789"/>
      <c r="D25" s="790"/>
      <c r="E25" s="790"/>
      <c r="F25" s="791"/>
      <c r="G25" s="843">
        <v>0</v>
      </c>
    </row>
    <row r="26" spans="1:9" ht="20.25" customHeight="1" x14ac:dyDescent="0.2">
      <c r="A26" s="842" t="s">
        <v>389</v>
      </c>
      <c r="B26" s="789"/>
      <c r="C26" s="792"/>
      <c r="D26" s="793"/>
      <c r="E26" s="793"/>
      <c r="F26" s="794"/>
      <c r="G26" s="843">
        <v>10000000</v>
      </c>
    </row>
    <row r="27" spans="1:9" ht="20.25" customHeight="1" x14ac:dyDescent="0.2">
      <c r="A27" s="842" t="s">
        <v>392</v>
      </c>
      <c r="B27" s="789"/>
      <c r="C27" s="792"/>
      <c r="D27" s="793"/>
      <c r="E27" s="793"/>
      <c r="F27" s="794"/>
      <c r="G27" s="843">
        <v>50000000</v>
      </c>
    </row>
    <row r="28" spans="1:9" ht="20.25" hidden="1" customHeight="1" x14ac:dyDescent="0.2">
      <c r="A28" s="842" t="s">
        <v>319</v>
      </c>
      <c r="B28" s="789"/>
      <c r="C28" s="789"/>
      <c r="D28" s="795"/>
      <c r="E28" s="795"/>
      <c r="F28" s="796"/>
      <c r="G28" s="843">
        <v>0</v>
      </c>
    </row>
    <row r="29" spans="1:9" ht="20.25" hidden="1" customHeight="1" x14ac:dyDescent="0.2">
      <c r="A29" s="842" t="s">
        <v>320</v>
      </c>
      <c r="B29" s="789"/>
      <c r="C29" s="789"/>
      <c r="D29" s="795"/>
      <c r="E29" s="795"/>
      <c r="F29" s="796"/>
      <c r="G29" s="843">
        <v>0</v>
      </c>
    </row>
    <row r="30" spans="1:9" ht="20.25" hidden="1" customHeight="1" x14ac:dyDescent="0.2">
      <c r="A30" s="842" t="s">
        <v>321</v>
      </c>
      <c r="B30" s="789"/>
      <c r="C30" s="789"/>
      <c r="D30" s="795"/>
      <c r="E30" s="795"/>
      <c r="F30" s="796"/>
      <c r="G30" s="843">
        <v>0</v>
      </c>
    </row>
    <row r="31" spans="1:9" ht="20.25" hidden="1" customHeight="1" x14ac:dyDescent="0.2">
      <c r="A31" s="842" t="s">
        <v>322</v>
      </c>
      <c r="B31" s="789"/>
      <c r="C31" s="789"/>
      <c r="D31" s="790"/>
      <c r="E31" s="790"/>
      <c r="F31" s="797"/>
      <c r="G31" s="843">
        <v>0</v>
      </c>
    </row>
    <row r="32" spans="1:9" ht="20.25" customHeight="1" x14ac:dyDescent="0.2">
      <c r="A32" s="844" t="s">
        <v>384</v>
      </c>
      <c r="B32" s="798"/>
      <c r="C32" s="798"/>
      <c r="D32" s="799"/>
      <c r="E32" s="799"/>
      <c r="F32" s="800"/>
      <c r="G32" s="845">
        <f>SUM(G25:G31)</f>
        <v>60000000</v>
      </c>
    </row>
    <row r="33" spans="1:7" ht="6" customHeight="1" thickBot="1" x14ac:dyDescent="0.25">
      <c r="A33" s="846"/>
      <c r="B33" s="801"/>
      <c r="C33" s="801"/>
      <c r="D33" s="802"/>
      <c r="E33" s="802"/>
      <c r="F33" s="803"/>
      <c r="G33" s="847"/>
    </row>
    <row r="34" spans="1:7" ht="20.25" customHeight="1" thickBot="1" x14ac:dyDescent="0.25">
      <c r="A34" s="848" t="s">
        <v>323</v>
      </c>
      <c r="B34" s="804"/>
      <c r="C34" s="805"/>
      <c r="D34" s="806"/>
      <c r="E34" s="807"/>
      <c r="F34" s="808" t="s">
        <v>324</v>
      </c>
      <c r="G34" s="849" t="s">
        <v>325</v>
      </c>
    </row>
    <row r="35" spans="1:7" ht="20.25" customHeight="1" x14ac:dyDescent="0.2">
      <c r="A35" s="842" t="s">
        <v>386</v>
      </c>
      <c r="B35" s="990"/>
      <c r="C35" s="789"/>
      <c r="D35" s="789"/>
      <c r="E35" s="790"/>
      <c r="F35" s="989">
        <v>5000000</v>
      </c>
      <c r="G35" s="850"/>
    </row>
    <row r="36" spans="1:7" ht="20.25" customHeight="1" x14ac:dyDescent="0.2">
      <c r="A36" s="842" t="s">
        <v>385</v>
      </c>
      <c r="B36" s="809"/>
      <c r="C36" s="789"/>
      <c r="D36" s="789"/>
      <c r="E36" s="790"/>
      <c r="F36" s="991">
        <f>IF(F35&gt;0,F35/'Declaración de Renta'!G15,0)</f>
        <v>156.94152358831099</v>
      </c>
      <c r="G36" s="850"/>
    </row>
    <row r="37" spans="1:7" ht="20.25" customHeight="1" x14ac:dyDescent="0.2">
      <c r="A37" s="842" t="s">
        <v>387</v>
      </c>
      <c r="B37" s="789"/>
      <c r="C37" s="789"/>
      <c r="D37" s="795"/>
      <c r="E37" s="795"/>
      <c r="F37" s="795"/>
      <c r="G37" s="850">
        <f>+G26</f>
        <v>10000000</v>
      </c>
    </row>
    <row r="38" spans="1:7" ht="20.25" customHeight="1" thickBot="1" x14ac:dyDescent="0.25">
      <c r="A38" s="842" t="s">
        <v>326</v>
      </c>
      <c r="B38" s="810">
        <f>IF(F35&gt;0,IF(Datos!B11=0%,Datos!B12,Datos!B11),0)</f>
        <v>0</v>
      </c>
      <c r="C38" s="789"/>
      <c r="D38" s="795"/>
      <c r="E38" s="795"/>
      <c r="F38" s="795"/>
      <c r="G38" s="850">
        <f>-B38*G37</f>
        <v>0</v>
      </c>
    </row>
    <row r="39" spans="1:7" ht="20.25" customHeight="1" thickTop="1" x14ac:dyDescent="0.2">
      <c r="A39" s="993" t="s">
        <v>390</v>
      </c>
      <c r="B39" s="994"/>
      <c r="C39" s="995"/>
      <c r="D39" s="996"/>
      <c r="E39" s="996"/>
      <c r="F39" s="996"/>
      <c r="G39" s="997">
        <f>+G37+G38</f>
        <v>10000000</v>
      </c>
    </row>
    <row r="40" spans="1:7" ht="20.25" customHeight="1" thickBot="1" x14ac:dyDescent="0.25">
      <c r="A40" s="842" t="s">
        <v>388</v>
      </c>
      <c r="B40" s="789"/>
      <c r="C40" s="792"/>
      <c r="D40" s="793"/>
      <c r="E40" s="793"/>
      <c r="F40" s="794"/>
      <c r="G40" s="992">
        <v>25000000</v>
      </c>
    </row>
    <row r="41" spans="1:7" ht="20.25" customHeight="1" thickBot="1" x14ac:dyDescent="0.25">
      <c r="A41" s="851"/>
      <c r="B41" s="852"/>
      <c r="C41" s="852"/>
      <c r="D41" s="853"/>
      <c r="E41" s="853"/>
      <c r="F41" s="854" t="s">
        <v>327</v>
      </c>
      <c r="G41" s="855">
        <f>SUM(G37:G38)+G40</f>
        <v>35000000</v>
      </c>
    </row>
    <row r="42" spans="1:7" ht="13.5" thickTop="1" x14ac:dyDescent="0.2"/>
  </sheetData>
  <sheetProtection password="941B" sheet="1" objects="1" scenarios="1"/>
  <mergeCells count="1">
    <mergeCell ref="A16:G16"/>
  </mergeCells>
  <pageMargins left="0.70866141732283472" right="0.70866141732283472" top="0.74803149606299213" bottom="0.74803149606299213" header="0.31496062992125984" footer="0.31496062992125984"/>
  <pageSetup scale="63"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C22"/>
  <sheetViews>
    <sheetView topLeftCell="A23" workbookViewId="0">
      <selection activeCell="A22" sqref="A1:IV22"/>
    </sheetView>
  </sheetViews>
  <sheetFormatPr baseColWidth="10" defaultRowHeight="15" x14ac:dyDescent="0.25"/>
  <cols>
    <col min="3" max="3" width="82" customWidth="1"/>
  </cols>
  <sheetData>
    <row r="1" spans="1:3" hidden="1" x14ac:dyDescent="0.25">
      <c r="A1" t="s">
        <v>257</v>
      </c>
      <c r="B1" t="s">
        <v>258</v>
      </c>
    </row>
    <row r="2" spans="1:3" hidden="1" x14ac:dyDescent="0.25">
      <c r="A2">
        <v>1</v>
      </c>
      <c r="B2" t="s">
        <v>244</v>
      </c>
    </row>
    <row r="3" spans="1:3" hidden="1" x14ac:dyDescent="0.25">
      <c r="A3">
        <f>+A2+1</f>
        <v>2</v>
      </c>
      <c r="B3" t="s">
        <v>245</v>
      </c>
    </row>
    <row r="4" spans="1:3" hidden="1" x14ac:dyDescent="0.25">
      <c r="A4">
        <f t="shared" ref="A4:A13" si="0">+A3+1</f>
        <v>3</v>
      </c>
      <c r="B4" t="s">
        <v>246</v>
      </c>
    </row>
    <row r="5" spans="1:3" hidden="1" x14ac:dyDescent="0.25">
      <c r="A5">
        <f t="shared" si="0"/>
        <v>4</v>
      </c>
      <c r="B5" t="s">
        <v>247</v>
      </c>
    </row>
    <row r="6" spans="1:3" hidden="1" x14ac:dyDescent="0.25">
      <c r="A6">
        <f t="shared" si="0"/>
        <v>5</v>
      </c>
      <c r="B6" t="s">
        <v>248</v>
      </c>
    </row>
    <row r="7" spans="1:3" hidden="1" x14ac:dyDescent="0.25">
      <c r="A7">
        <f t="shared" si="0"/>
        <v>6</v>
      </c>
      <c r="B7" t="s">
        <v>249</v>
      </c>
    </row>
    <row r="8" spans="1:3" hidden="1" x14ac:dyDescent="0.25">
      <c r="A8">
        <f t="shared" si="0"/>
        <v>7</v>
      </c>
      <c r="B8" t="s">
        <v>250</v>
      </c>
    </row>
    <row r="9" spans="1:3" hidden="1" x14ac:dyDescent="0.25">
      <c r="A9">
        <f t="shared" si="0"/>
        <v>8</v>
      </c>
      <c r="B9" t="s">
        <v>251</v>
      </c>
    </row>
    <row r="10" spans="1:3" hidden="1" x14ac:dyDescent="0.25">
      <c r="A10">
        <f t="shared" si="0"/>
        <v>9</v>
      </c>
      <c r="B10" t="s">
        <v>252</v>
      </c>
    </row>
    <row r="11" spans="1:3" hidden="1" x14ac:dyDescent="0.25">
      <c r="A11">
        <f t="shared" si="0"/>
        <v>10</v>
      </c>
      <c r="B11" t="s">
        <v>253</v>
      </c>
    </row>
    <row r="12" spans="1:3" hidden="1" x14ac:dyDescent="0.25">
      <c r="A12">
        <f t="shared" si="0"/>
        <v>11</v>
      </c>
      <c r="B12" t="s">
        <v>254</v>
      </c>
    </row>
    <row r="13" spans="1:3" hidden="1" x14ac:dyDescent="0.25">
      <c r="A13">
        <f t="shared" si="0"/>
        <v>12</v>
      </c>
      <c r="B13" t="s">
        <v>255</v>
      </c>
    </row>
    <row r="14" spans="1:3" hidden="1" x14ac:dyDescent="0.25"/>
    <row r="15" spans="1:3" ht="19.5" hidden="1" thickBot="1" x14ac:dyDescent="0.3">
      <c r="A15" s="678" t="s">
        <v>259</v>
      </c>
      <c r="B15" s="678"/>
      <c r="C15" s="678"/>
    </row>
    <row r="16" spans="1:3" ht="45.75" hidden="1" thickBot="1" x14ac:dyDescent="0.3">
      <c r="A16" s="679" t="s">
        <v>260</v>
      </c>
      <c r="B16" s="679" t="s">
        <v>261</v>
      </c>
      <c r="C16" s="679" t="s">
        <v>262</v>
      </c>
    </row>
    <row r="17" spans="1:3" ht="15.75" hidden="1" thickBot="1" x14ac:dyDescent="0.3">
      <c r="A17" s="680" t="s">
        <v>263</v>
      </c>
      <c r="B17" s="681" t="s">
        <v>264</v>
      </c>
      <c r="C17" s="677" t="s">
        <v>265</v>
      </c>
    </row>
    <row r="18" spans="1:3" ht="43.5" hidden="1" thickBot="1" x14ac:dyDescent="0.3">
      <c r="A18" s="680" t="s">
        <v>266</v>
      </c>
      <c r="B18" s="681" t="s">
        <v>267</v>
      </c>
      <c r="C18" s="677" t="s">
        <v>268</v>
      </c>
    </row>
    <row r="19" spans="1:3" ht="29.25" hidden="1" thickBot="1" x14ac:dyDescent="0.3">
      <c r="A19" s="680" t="s">
        <v>269</v>
      </c>
      <c r="B19" s="681" t="s">
        <v>270</v>
      </c>
      <c r="C19" s="677" t="s">
        <v>271</v>
      </c>
    </row>
    <row r="20" spans="1:3" ht="29.25" hidden="1" thickBot="1" x14ac:dyDescent="0.3">
      <c r="A20" s="680" t="s">
        <v>272</v>
      </c>
      <c r="B20" s="681" t="s">
        <v>273</v>
      </c>
      <c r="C20" s="677" t="s">
        <v>274</v>
      </c>
    </row>
    <row r="21" spans="1:3" ht="29.25" hidden="1" thickBot="1" x14ac:dyDescent="0.3">
      <c r="A21" s="680" t="s">
        <v>275</v>
      </c>
      <c r="B21" s="681" t="s">
        <v>276</v>
      </c>
      <c r="C21" s="677" t="s">
        <v>277</v>
      </c>
    </row>
    <row r="22" spans="1:3" hidden="1" x14ac:dyDescent="0.25"/>
  </sheetData>
  <sheetProtection password="BE45" sheet="1" objects="1" scenarios="1"/>
  <pageMargins left="0.7" right="0.7" top="0.75" bottom="0.75" header="0.3" footer="0.3"/>
  <pageSetup orientation="portrait" horizontalDpi="4294967293" verticalDpi="4294967293"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A1:Q46"/>
  <sheetViews>
    <sheetView showGridLines="0" topLeftCell="A27" workbookViewId="0">
      <selection activeCell="A40" sqref="A40"/>
    </sheetView>
  </sheetViews>
  <sheetFormatPr baseColWidth="10" defaultColWidth="11.5703125" defaultRowHeight="15" x14ac:dyDescent="0.25"/>
  <cols>
    <col min="1" max="1" width="59.5703125" style="154" customWidth="1"/>
    <col min="2" max="2" width="7.7109375" style="154" hidden="1" customWidth="1"/>
    <col min="3" max="3" width="4.7109375" style="154" customWidth="1"/>
    <col min="4" max="4" width="16" style="154" customWidth="1"/>
    <col min="5" max="5" width="10.140625" style="154" hidden="1" customWidth="1"/>
    <col min="6" max="6" width="16" style="154" bestFit="1" customWidth="1"/>
    <col min="7" max="7" width="8.28515625" style="154" hidden="1" customWidth="1"/>
    <col min="8" max="9" width="16" style="154" customWidth="1"/>
    <col min="10" max="10" width="12.28515625" style="413" hidden="1" customWidth="1"/>
    <col min="11" max="11" width="12.140625" style="204" hidden="1" customWidth="1"/>
    <col min="12" max="12" width="16" style="154" customWidth="1"/>
    <col min="13" max="13" width="15.140625" style="154" customWidth="1"/>
    <col min="14" max="14" width="16.85546875" style="413" hidden="1" customWidth="1"/>
    <col min="15" max="15" width="15.85546875" style="413" hidden="1" customWidth="1"/>
    <col min="16" max="16" width="14.85546875" style="154" hidden="1" customWidth="1"/>
    <col min="17" max="17" width="11.85546875" style="154" hidden="1" customWidth="1"/>
    <col min="18" max="18" width="11.5703125" style="154" customWidth="1"/>
    <col min="19" max="16384" width="11.5703125" style="154"/>
  </cols>
  <sheetData>
    <row r="1" spans="1:15" s="427" customFormat="1" ht="45.6" customHeight="1" x14ac:dyDescent="0.25">
      <c r="A1" s="1044" t="s">
        <v>183</v>
      </c>
      <c r="B1" s="1045"/>
      <c r="C1" s="1045"/>
      <c r="D1" s="1045"/>
      <c r="E1" s="1045"/>
      <c r="F1" s="1045"/>
      <c r="G1" s="1045"/>
      <c r="H1" s="1045"/>
      <c r="I1" s="1045"/>
      <c r="J1" s="1045"/>
      <c r="K1" s="1045"/>
      <c r="L1" s="1045"/>
      <c r="N1" s="321"/>
      <c r="O1" s="321"/>
    </row>
    <row r="2" spans="1:15" s="271" customFormat="1" ht="15.75" customHeight="1" thickBot="1" x14ac:dyDescent="0.3">
      <c r="A2" s="273" t="e">
        <f>+'Cálculo % Fijo de Ret.Fte.'!C10:M10</f>
        <v>#VALUE!</v>
      </c>
      <c r="B2" s="273"/>
      <c r="C2" s="273"/>
      <c r="D2" s="273"/>
      <c r="E2" s="273"/>
      <c r="F2" s="273"/>
      <c r="G2" s="273"/>
      <c r="H2" s="273"/>
      <c r="I2" s="273"/>
      <c r="J2" s="272" t="s">
        <v>15</v>
      </c>
      <c r="K2" s="274" t="s">
        <v>98</v>
      </c>
      <c r="L2" s="273"/>
      <c r="N2" s="321"/>
      <c r="O2" s="321"/>
    </row>
    <row r="3" spans="1:15" s="227" customFormat="1" ht="46.5" customHeight="1" x14ac:dyDescent="0.25">
      <c r="A3" s="287" t="s">
        <v>21</v>
      </c>
      <c r="B3" s="288"/>
      <c r="C3" s="451" t="s">
        <v>181</v>
      </c>
      <c r="D3" s="288" t="s">
        <v>3</v>
      </c>
      <c r="E3" s="1053" t="s">
        <v>107</v>
      </c>
      <c r="F3" s="1053"/>
      <c r="G3" s="1053" t="s">
        <v>158</v>
      </c>
      <c r="H3" s="1053"/>
      <c r="I3" s="382" t="s">
        <v>108</v>
      </c>
      <c r="J3" s="289"/>
      <c r="K3" s="290"/>
      <c r="L3" s="291" t="s">
        <v>126</v>
      </c>
      <c r="N3" s="413"/>
      <c r="O3" s="413"/>
    </row>
    <row r="4" spans="1:15" s="227" customFormat="1" x14ac:dyDescent="0.25">
      <c r="A4" s="292" t="str">
        <f>+'Cálculo % Fijo de Ret.Fte.'!C44</f>
        <v>Ingreso bruto percibidos por relaciones laborales (Incluye cesantías e intereses)</v>
      </c>
      <c r="B4" s="228"/>
      <c r="C4" s="242"/>
      <c r="D4" s="254" t="e">
        <f>IF($A$2="PARA TRABAJADORES INDEPENDIENTES SIN CATEGORÍA DE EMPLEADOS",0,'Cálculo % Fijo de Ret.Fte.'!F44*12)</f>
        <v>#VALUE!</v>
      </c>
      <c r="E4" s="308"/>
      <c r="F4" s="307">
        <f>'Cálculo % Fijo de Ret.Fte.'!F44*12</f>
        <v>0</v>
      </c>
      <c r="G4" s="308"/>
      <c r="H4" s="307">
        <f>+F4</f>
        <v>0</v>
      </c>
      <c r="I4" s="254" t="e">
        <f>IF($A$2="PARA TRABAJADORES INDEPENDIENTES SIN CATEGORÍA DE EMPLEADOS",0,'Cálculo % Fijo de Ret.Fte.'!F44*12)</f>
        <v>#VALUE!</v>
      </c>
      <c r="J4" s="309"/>
      <c r="K4" s="310"/>
      <c r="L4" s="311" t="e">
        <f>IF(D18&lt;'Cálculo % Fijo de Ret.Fte.'!G16*4700,D4+D5+D6+D7,0)</f>
        <v>#VALUE!</v>
      </c>
      <c r="N4" s="413"/>
      <c r="O4" s="413"/>
    </row>
    <row r="5" spans="1:15" s="227" customFormat="1" x14ac:dyDescent="0.25">
      <c r="A5" s="292" t="str">
        <f>+'Cálculo % Fijo de Ret.Fte.'!C45</f>
        <v>Ingreso bruto por honorarios, comisiones y servicios</v>
      </c>
      <c r="B5" s="228"/>
      <c r="C5" s="242"/>
      <c r="D5" s="254" t="e">
        <f>IF($A$2="PARA TRABAJADORES INDEPENDIENTES SIN CATEGORÍA DE EMPLEADOS",0,'Cálculo % Fijo de Ret.Fte.'!F45*12)</f>
        <v>#VALUE!</v>
      </c>
      <c r="E5" s="307" t="e">
        <f>IF($A$2="PARA TRABAJADORES INDEPENDIENTES SIN CATEGORÍA DE EMPLEADOS",0,'Cálculo % Fijo de Ret.Fte.'!G45*12)</f>
        <v>#VALUE!</v>
      </c>
      <c r="F5" s="307">
        <f>'Cálculo % Fijo de Ret.Fte.'!F45*12</f>
        <v>0</v>
      </c>
      <c r="G5" s="335"/>
      <c r="H5" s="307">
        <f>+F5</f>
        <v>0</v>
      </c>
      <c r="I5" s="254" t="e">
        <f>IF($A$2="PARA TRABAJADORES INDEPENDIENTES SIN CATEGORÍA DE EMPLEADOS",0,'Cálculo % Fijo de Ret.Fte.'!F45*12)</f>
        <v>#VALUE!</v>
      </c>
      <c r="J5" s="309"/>
      <c r="K5" s="310"/>
      <c r="L5" s="311">
        <v>0</v>
      </c>
      <c r="N5" s="413"/>
      <c r="O5" s="413"/>
    </row>
    <row r="6" spans="1:15" s="227" customFormat="1" x14ac:dyDescent="0.25">
      <c r="A6" s="292" t="str">
        <f>+'Cálculo % Fijo de Ret.Fte.'!C46</f>
        <v>Ingreso por interseses y rendimientos financieros</v>
      </c>
      <c r="B6" s="228"/>
      <c r="C6" s="242"/>
      <c r="D6" s="254" t="e">
        <f>IF($A$2="PARA TRABAJADORES INDEPENDIENTES SIN CATEGORÍA DE EMPLEADOS",0,'Cálculo % Fijo de Ret.Fte.'!F46*12)</f>
        <v>#VALUE!</v>
      </c>
      <c r="E6" s="307" t="e">
        <f>IF($A$2="PARA TRABAJADORES INDEPENDIENTES SIN CATEGORÍA DE EMPLEADOS",0,'Cálculo % Fijo de Ret.Fte.'!G46*12)</f>
        <v>#VALUE!</v>
      </c>
      <c r="F6" s="307">
        <f>'Cálculo % Fijo de Ret.Fte.'!F46*12</f>
        <v>0</v>
      </c>
      <c r="G6" s="335"/>
      <c r="H6" s="307">
        <f>+F6</f>
        <v>0</v>
      </c>
      <c r="I6" s="254" t="e">
        <f>IF($A$2="PARA TRABAJADORES INDEPENDIENTES SIN CATEGORÍA DE EMPLEADOS",0,'Cálculo % Fijo de Ret.Fte.'!F46*12)</f>
        <v>#VALUE!</v>
      </c>
      <c r="J6" s="309"/>
      <c r="K6" s="310"/>
      <c r="L6" s="311">
        <v>0</v>
      </c>
      <c r="N6" s="413"/>
      <c r="O6" s="413"/>
    </row>
    <row r="7" spans="1:15" s="227" customFormat="1" x14ac:dyDescent="0.25">
      <c r="A7" s="292" t="str">
        <f>+'Cálculo % Fijo de Ret.Fte.'!C47</f>
        <v>Ingreso por otros conceptos (Arrendamientos y otros)</v>
      </c>
      <c r="B7" s="228"/>
      <c r="C7" s="242"/>
      <c r="D7" s="254" t="e">
        <f>IF($A$2="PARA TRABAJADORES INDEPENDIENTES SIN CATEGORÍA DE EMPLEADOS",0,'Cálculo % Fijo de Ret.Fte.'!F47*12)</f>
        <v>#VALUE!</v>
      </c>
      <c r="E7" s="307" t="e">
        <f>IF($A$2="PARA TRABAJADORES INDEPENDIENTES SIN CATEGORÍA DE EMPLEADOS",0,'Cálculo % Fijo de Ret.Fte.'!G47*12)</f>
        <v>#VALUE!</v>
      </c>
      <c r="F7" s="307">
        <f>'Cálculo % Fijo de Ret.Fte.'!F47*12</f>
        <v>0</v>
      </c>
      <c r="G7" s="335"/>
      <c r="H7" s="307">
        <f>+F7</f>
        <v>0</v>
      </c>
      <c r="I7" s="254" t="e">
        <f>IF($A$2="PARA TRABAJADORES INDEPENDIENTES SIN CATEGORÍA DE EMPLEADOS",0,'Cálculo % Fijo de Ret.Fte.'!F47*12)</f>
        <v>#VALUE!</v>
      </c>
      <c r="J7" s="309"/>
      <c r="K7" s="310"/>
      <c r="L7" s="311">
        <v>0</v>
      </c>
      <c r="N7" s="413"/>
      <c r="O7" s="413"/>
    </row>
    <row r="8" spans="1:15" s="227" customFormat="1" ht="15.75" thickBot="1" x14ac:dyDescent="0.3">
      <c r="A8" s="432" t="s">
        <v>179</v>
      </c>
      <c r="B8" s="433"/>
      <c r="C8" s="432"/>
      <c r="D8" s="434" t="e">
        <f>SUM(D4:D7)</f>
        <v>#VALUE!</v>
      </c>
      <c r="E8" s="435"/>
      <c r="F8" s="436">
        <f>SUM(F4:F7)</f>
        <v>0</v>
      </c>
      <c r="G8" s="437"/>
      <c r="H8" s="436">
        <f>SUM(H4:H7)</f>
        <v>0</v>
      </c>
      <c r="I8" s="434" t="e">
        <f>SUM(I4:I7)</f>
        <v>#VALUE!</v>
      </c>
      <c r="J8" s="438"/>
      <c r="K8" s="439"/>
      <c r="L8" s="440" t="e">
        <f>SUM(L4:L7)</f>
        <v>#VALUE!</v>
      </c>
      <c r="N8" s="413"/>
      <c r="O8" s="413"/>
    </row>
    <row r="9" spans="1:15" s="227" customFormat="1" ht="15.75" thickBot="1" x14ac:dyDescent="0.3">
      <c r="A9" s="446" t="s">
        <v>137</v>
      </c>
      <c r="B9" s="447"/>
      <c r="C9" s="1049" t="s">
        <v>3</v>
      </c>
      <c r="D9" s="448" t="e">
        <f>('Cálculo % Fijo de Ret.Fte.'!E64+'Cálculo % Fijo de Ret.Fte.'!E65+'Cálculo % Fijo de Ret.Fte.'!E66)*12</f>
        <v>#VALUE!</v>
      </c>
      <c r="E9" s="449"/>
      <c r="F9" s="448">
        <f>('Cálculo % Fijo de Ret.Fte.'!G64+'Cálculo % Fijo de Ret.Fte.'!G65+'Cálculo % Fijo de Ret.Fte.'!G66)*12</f>
        <v>0</v>
      </c>
      <c r="G9" s="449"/>
      <c r="H9" s="448" t="e">
        <f>('Cálculo % Fijo de Ret.Fte.'!K64+'Cálculo % Fijo de Ret.Fte.'!K65+'Cálculo % Fijo de Ret.Fte.'!K66)*12</f>
        <v>#VALUE!</v>
      </c>
      <c r="I9" s="448" t="e">
        <f>IF($A$2="PARA TRABAJADORES INDEPENDIENTES SIN CATEGORÍA DE EMPLEADOS",0,('Cálculo % Fijo de Ret.Fte.'!M64+'Cálculo % Fijo de Ret.Fte.'!M65+'Cálculo % Fijo de Ret.Fte.'!M66)*12)</f>
        <v>#VALUE!</v>
      </c>
      <c r="J9" s="309"/>
      <c r="K9" s="310"/>
      <c r="L9" s="450" t="e">
        <f>IF(L4&gt;0,('Cálculo % Fijo de Ret.Fte.'!E64+'Cálculo % Fijo de Ret.Fte.'!E65+'Cálculo % Fijo de Ret.Fte.'!E66)*12,0)</f>
        <v>#VALUE!</v>
      </c>
      <c r="N9" s="343" t="s">
        <v>133</v>
      </c>
      <c r="O9" s="413"/>
    </row>
    <row r="10" spans="1:15" s="227" customFormat="1" x14ac:dyDescent="0.25">
      <c r="A10" s="446" t="s">
        <v>138</v>
      </c>
      <c r="B10" s="447"/>
      <c r="C10" s="1047"/>
      <c r="D10" s="448">
        <f>('Cálculo % Fijo de Ret.Fte.'!E61+'Cálculo % Fijo de Ret.Fte.'!E62+'Cálculo % Fijo de Ret.Fte.'!E63)*12</f>
        <v>0</v>
      </c>
      <c r="E10" s="449"/>
      <c r="F10" s="448">
        <f>('Cálculo % Fijo de Ret.Fte.'!G61+'Cálculo % Fijo de Ret.Fte.'!G62+'Cálculo % Fijo de Ret.Fte.'!G63)*12</f>
        <v>0</v>
      </c>
      <c r="G10" s="449"/>
      <c r="H10" s="448">
        <f>('Cálculo % Fijo de Ret.Fte.'!K61+'Cálculo % Fijo de Ret.Fte.'!K62+'Cálculo % Fijo de Ret.Fte.'!K63)*12</f>
        <v>0</v>
      </c>
      <c r="I10" s="448" t="e">
        <f>IF($A$2="PARA TRABAJADORES INDEPENDIENTES SIN CATEGORÍA DE EMPLEADOS",0,('Cálculo % Fijo de Ret.Fte.'!M61+'Cálculo % Fijo de Ret.Fte.'!M62+'Cálculo % Fijo de Ret.Fte.'!M63)*12)</f>
        <v>#VALUE!</v>
      </c>
      <c r="J10" s="309"/>
      <c r="K10" s="310"/>
      <c r="L10" s="450" t="e">
        <f>IF(L4&gt;0,('Cálculo % Fijo de Ret.Fte.'!E61+'Cálculo % Fijo de Ret.Fte.'!E62+'Cálculo % Fijo de Ret.Fte.'!E63)*12,0)</f>
        <v>#VALUE!</v>
      </c>
      <c r="N10" s="341">
        <f>F9</f>
        <v>0</v>
      </c>
      <c r="O10" s="413" t="s">
        <v>170</v>
      </c>
    </row>
    <row r="11" spans="1:15" s="227" customFormat="1" ht="15.75" thickBot="1" x14ac:dyDescent="0.3">
      <c r="A11" s="446" t="s">
        <v>146</v>
      </c>
      <c r="B11" s="447"/>
      <c r="C11" s="1047"/>
      <c r="D11" s="448">
        <f>+('Cálculo % Fijo de Ret.Fte.'!E68+'Cálculo % Fijo de Ret.Fte.'!E67)*12</f>
        <v>0</v>
      </c>
      <c r="E11" s="448" t="e">
        <f>+'Cálculo % Fijo de Ret.Fte.'!#REF!+'Cálculo % Fijo de Ret.Fte.'!#REF!</f>
        <v>#REF!</v>
      </c>
      <c r="F11" s="448">
        <f>+('Cálculo % Fijo de Ret.Fte.'!G68+'Cálculo % Fijo de Ret.Fte.'!G67)*12</f>
        <v>0</v>
      </c>
      <c r="G11" s="448">
        <f>+'Cálculo % Fijo de Ret.Fte.'!L68+'Cálculo % Fijo de Ret.Fte.'!L67</f>
        <v>0</v>
      </c>
      <c r="H11" s="448">
        <f>+F11</f>
        <v>0</v>
      </c>
      <c r="I11" s="448">
        <f>+('Cálculo % Fijo de Ret.Fte.'!M68+'Cálculo % Fijo de Ret.Fte.'!M67)*12</f>
        <v>0</v>
      </c>
      <c r="J11" s="309"/>
      <c r="K11" s="310"/>
      <c r="L11" s="450">
        <v>0</v>
      </c>
      <c r="N11" s="414">
        <f>-(F4+F5)*0.3</f>
        <v>0</v>
      </c>
      <c r="O11" s="413" t="s">
        <v>172</v>
      </c>
    </row>
    <row r="12" spans="1:15" s="227" customFormat="1" ht="14.45" customHeight="1" thickBot="1" x14ac:dyDescent="0.3">
      <c r="A12" s="269" t="s">
        <v>139</v>
      </c>
      <c r="B12" s="228"/>
      <c r="C12" s="1046" t="s">
        <v>182</v>
      </c>
      <c r="D12" s="254">
        <v>0</v>
      </c>
      <c r="E12" s="308"/>
      <c r="F12" s="444">
        <f>-F6*0.4</f>
        <v>0</v>
      </c>
      <c r="G12" s="333">
        <v>0</v>
      </c>
      <c r="H12" s="254">
        <f>+F12</f>
        <v>0</v>
      </c>
      <c r="I12" s="486">
        <f>+F12</f>
        <v>0</v>
      </c>
      <c r="J12" s="309"/>
      <c r="K12" s="310"/>
      <c r="L12" s="311">
        <v>0</v>
      </c>
      <c r="N12" s="413"/>
      <c r="O12" s="413"/>
    </row>
    <row r="13" spans="1:15" s="415" customFormat="1" ht="15.75" thickBot="1" x14ac:dyDescent="0.3">
      <c r="A13" s="324" t="s">
        <v>168</v>
      </c>
      <c r="B13" s="325"/>
      <c r="C13" s="1047"/>
      <c r="D13" s="254">
        <v>0</v>
      </c>
      <c r="E13" s="308"/>
      <c r="F13" s="254">
        <f>IF(IF(N10+N14&lt;N11,N11-N10,N14)+N10&lt;-N13,-N13-N10,IF(N10+N14&lt;N11,N11-N10,N14))</f>
        <v>0</v>
      </c>
      <c r="G13" s="308"/>
      <c r="H13" s="254">
        <v>0</v>
      </c>
      <c r="I13" s="419" t="e">
        <f>IF(N26&gt;=0,0,IF(IF(N26&lt;-N13,-N13-N10,IF(IF(IF(N26&gt;=0,0,+N26)&lt;-N13,-N13-I9,IF(N26&gt;=0,0,+N26))&lt;-(I4+I5)*0.3,-(I4+I5)*0.3-I9,IF(IF(N26&gt;=0,0,+N26)&lt;-N13,-N13-I9,IF(N26&gt;=0,0,+N26))))&lt;N11,N11,IF(N26&lt;-N13,-N13-N10,IF(IF(IF(N26&gt;=0,0,+N26)&lt;-N13,-N13-I9,IF(N26&gt;=0,0,+N26))&lt;-(I4+I5)*0.3,-(I4+I5)*0.3-I9,IF(IF(N26&gt;=0,0,+N26)&lt;-N13,-N13-I9,IF(N26&gt;=0,0,+N26))))))</f>
        <v>#VALUE!</v>
      </c>
      <c r="J13" s="309"/>
      <c r="K13" s="310"/>
      <c r="L13" s="311">
        <v>0</v>
      </c>
      <c r="N13" s="452">
        <f>'Cálculo % Fijo de Ret.Fte.'!G16*3800</f>
        <v>121064200</v>
      </c>
      <c r="O13" s="322" t="s">
        <v>169</v>
      </c>
    </row>
    <row r="14" spans="1:15" s="227" customFormat="1" ht="15.75" thickBot="1" x14ac:dyDescent="0.3">
      <c r="A14" s="324" t="s">
        <v>167</v>
      </c>
      <c r="B14" s="325"/>
      <c r="C14" s="1047"/>
      <c r="D14" s="254">
        <v>0</v>
      </c>
      <c r="E14" s="308"/>
      <c r="F14" s="254">
        <f>+'Cálculo % Fijo de Ret.Fte.'!G75*12</f>
        <v>0</v>
      </c>
      <c r="G14" s="308"/>
      <c r="H14" s="254">
        <v>0</v>
      </c>
      <c r="I14" s="254">
        <f>+F14</f>
        <v>0</v>
      </c>
      <c r="J14" s="309"/>
      <c r="K14" s="310"/>
      <c r="L14" s="311">
        <v>0</v>
      </c>
      <c r="N14" s="430">
        <f>-('Cálculo % Fijo de Ret.Fte.'!F51+'Cálculo % Fijo de Ret.Fte.'!F52)*12</f>
        <v>0</v>
      </c>
      <c r="O14" s="413" t="s">
        <v>171</v>
      </c>
    </row>
    <row r="15" spans="1:15" s="227" customFormat="1" ht="15.75" thickBot="1" x14ac:dyDescent="0.3">
      <c r="A15" s="292" t="s">
        <v>114</v>
      </c>
      <c r="B15" s="228"/>
      <c r="C15" s="1047"/>
      <c r="D15" s="254">
        <v>0</v>
      </c>
      <c r="E15" s="308"/>
      <c r="F15" s="319">
        <f>+'Cálculo % Fijo de Ret.Fte.'!G76*12</f>
        <v>0</v>
      </c>
      <c r="G15" s="308"/>
      <c r="H15" s="254">
        <v>0</v>
      </c>
      <c r="I15" s="419" t="e">
        <f>IF(O26&gt;=0,0,IF('Cálculo % Fijo de Ret.Fte.'!F54=0,'Impuesto de Renta'!O26,IF(O26&lt;0,IF(A2="PARA TRABAJADORES INDEPENDIENTES SIN CATEGORÍA DE EMPLEADOS",0,-IF('Cálculo % Fijo de Ret.Fte.'!F54*12&gt;'Cálculo % Fijo de Ret.Fte.'!G16*'Cálculo % Fijo de Ret.Fte.'!F76*12,'Cálculo % Fijo de Ret.Fte.'!G16*'Cálculo % Fijo de Ret.Fte.'!F76*12,'Cálculo % Fijo de Ret.Fte.'!F54*12)))))</f>
        <v>#VALUE!</v>
      </c>
      <c r="J15" s="309"/>
      <c r="K15" s="310"/>
      <c r="L15" s="311">
        <v>0</v>
      </c>
      <c r="M15" s="415"/>
      <c r="N15" s="322"/>
      <c r="O15" s="322"/>
    </row>
    <row r="16" spans="1:15" s="227" customFormat="1" ht="15.75" thickBot="1" x14ac:dyDescent="0.3">
      <c r="A16" s="292" t="s">
        <v>166</v>
      </c>
      <c r="B16" s="228"/>
      <c r="C16" s="1047"/>
      <c r="D16" s="254">
        <v>0</v>
      </c>
      <c r="E16" s="313"/>
      <c r="F16" s="254">
        <f>+'Cálculo % Fijo de Ret.Fte.'!G77*12</f>
        <v>0</v>
      </c>
      <c r="G16" s="308"/>
      <c r="H16" s="254">
        <v>0</v>
      </c>
      <c r="I16" s="254">
        <f>+F16</f>
        <v>0</v>
      </c>
      <c r="J16" s="309"/>
      <c r="K16" s="310"/>
      <c r="L16" s="311">
        <v>0</v>
      </c>
      <c r="M16" s="416"/>
      <c r="N16" s="477">
        <f>+'Cálculo % Fijo de Ret.Fte.'!F46*12</f>
        <v>0</v>
      </c>
      <c r="O16" s="322" t="s">
        <v>140</v>
      </c>
    </row>
    <row r="17" spans="1:16" s="227" customFormat="1" ht="15.75" thickBot="1" x14ac:dyDescent="0.3">
      <c r="A17" s="292" t="s">
        <v>136</v>
      </c>
      <c r="B17" s="228"/>
      <c r="C17" s="1048"/>
      <c r="D17" s="316">
        <v>0</v>
      </c>
      <c r="E17" s="313"/>
      <c r="F17" s="312" t="e">
        <f>IF(A2="PARA ASALARIADOS CON CATEGORÍA DE EMPLEADOS",0,IF('Cálculo % Fijo de Ret.Fte.'!F45+'Cálculo % Fijo de Ret.Fte.'!F46+'Cálculo % Fijo de Ret.Fte.'!F47&gt;0,-'Cálculo % Fijo de Ret.Fte.'!F50*12,0))</f>
        <v>#VALUE!</v>
      </c>
      <c r="G17" s="308"/>
      <c r="H17" s="312" t="e">
        <f>+F17</f>
        <v>#VALUE!</v>
      </c>
      <c r="I17" s="419" t="e">
        <f>IF($A$2="PARA TRABAJADORES INDEPENDIENTES SIN CATEGORÍA DE EMPLEADOS",0,IF(Q42&gt;0,N36,IF(Q42&lt;0,Q42,H17)))</f>
        <v>#VALUE!</v>
      </c>
      <c r="J17" s="309"/>
      <c r="K17" s="310"/>
      <c r="L17" s="314">
        <v>0</v>
      </c>
      <c r="M17" s="415"/>
      <c r="N17" s="477">
        <f>+'Cálculo % Fijo de Ret.Fte.'!F47*12</f>
        <v>0</v>
      </c>
      <c r="O17" s="322" t="s">
        <v>141</v>
      </c>
    </row>
    <row r="18" spans="1:16" s="227" customFormat="1" x14ac:dyDescent="0.25">
      <c r="A18" s="429" t="s">
        <v>180</v>
      </c>
      <c r="B18" s="239"/>
      <c r="C18" s="428"/>
      <c r="D18" s="441" t="e">
        <f>SUM(D8:D17)</f>
        <v>#VALUE!</v>
      </c>
      <c r="E18" s="442"/>
      <c r="F18" s="332" t="e">
        <f>IF(SUM(F8:F17)&lt;0,0,SUM(F8:F17))</f>
        <v>#VALUE!</v>
      </c>
      <c r="G18" s="383"/>
      <c r="H18" s="332" t="e">
        <f>IF(SUM(H8:H17)&lt;0,0,SUM(H8:H17))</f>
        <v>#VALUE!</v>
      </c>
      <c r="I18" s="443" t="e">
        <f>IF(+I20-I19&lt;&gt;0,SUM(I8:I17),+I20-I19)</f>
        <v>#VALUE!</v>
      </c>
      <c r="J18" s="384"/>
      <c r="K18" s="385"/>
      <c r="L18" s="386" t="e">
        <f>SUM(L8:L17)</f>
        <v>#VALUE!</v>
      </c>
      <c r="M18" s="418"/>
      <c r="N18" s="470" t="e">
        <f>+I18+I19</f>
        <v>#VALUE!</v>
      </c>
      <c r="O18" s="479">
        <f>+(184848273-14118000-28235004)*0.25</f>
        <v>35623817.25</v>
      </c>
      <c r="P18" s="480" t="e">
        <f>+I19+O18</f>
        <v>#VALUE!</v>
      </c>
    </row>
    <row r="19" spans="1:16" s="227" customFormat="1" ht="15.75" thickBot="1" x14ac:dyDescent="0.3">
      <c r="A19" s="324" t="s">
        <v>184</v>
      </c>
      <c r="B19" s="325"/>
      <c r="C19" s="315"/>
      <c r="D19" s="315">
        <v>0</v>
      </c>
      <c r="E19" s="313"/>
      <c r="F19" s="253" t="e">
        <f>IF(IF(F18&gt;0,IF(A2="PARA TRABAJADORES INDEPENDIENTES SIN CATEGORÍA DE EMPLEADOS",0,-(F4+F5+F9+F13+F10+F14+F11+F15+F16+F17)*0.25),0)&lt;-N20,-N20,IF(F18&gt;0,IF(A2="PARA TRABAJADORES INDEPENDIENTES SIN CATEGORÍA DE EMPLEADOS",0,-(F4+F5+F9+F13+F10+F14+F11+F15+F16+F17)*0.25),0))</f>
        <v>#VALUE!</v>
      </c>
      <c r="G19" s="317"/>
      <c r="H19" s="253" t="e">
        <f>IF(IF(H18&gt;0,IF(A2="PARA TRABAJADORES INDEPENDIENTES SIN CATEGORÍA DE EMPLEADOS",0,-(H4+H5+H9+H13+H10+H14+H11+H15+H16+H17)*0.25),0)&lt;-N20,-N20,IF(H18&gt;0,IF(A2="PARA TRABAJADORES INDEPENDIENTES SIN CATEGORÍA DE EMPLEADOS",0,-(H4+H5+H9+H13+H10+H14+H11+H15+H16+H17)*0.25),0))</f>
        <v>#VALUE!</v>
      </c>
      <c r="I19" s="253" t="e">
        <f>IF(IF(A2="PARA TRABAJADORES INDEPENDIENTES SIN CATEGORÍA DE EMPLEADOS",0,-((I20*0.25/0.75)-(N16+N17+F12)*(0.25/0.75)))&lt;-N20,-N20,IF(A2="PARA TRABAJADORES INDEPENDIENTES SIN CATEGORÍA DE EMPLEADOS",0,-((I20*0.25/0.75)-(N16+N17+F12)*(0.25/0.75))))</f>
        <v>#VALUE!</v>
      </c>
      <c r="J19" s="309"/>
      <c r="K19" s="310"/>
      <c r="L19" s="314">
        <f>'Cálculo % Fijo de Ret.Fte.'!E75*12</f>
        <v>0</v>
      </c>
      <c r="M19" s="416"/>
      <c r="N19" s="471" t="e">
        <f>+I20-I19</f>
        <v>#VALUE!</v>
      </c>
      <c r="O19" s="322"/>
    </row>
    <row r="20" spans="1:16" s="227" customFormat="1" ht="15.75" hidden="1" thickBot="1" x14ac:dyDescent="0.3">
      <c r="A20" s="349" t="s">
        <v>149</v>
      </c>
      <c r="B20" s="350"/>
      <c r="C20" s="454"/>
      <c r="D20" s="455" t="e">
        <f t="shared" ref="D20:L20" si="0">+D18+D19</f>
        <v>#VALUE!</v>
      </c>
      <c r="E20" s="456">
        <f t="shared" si="0"/>
        <v>0</v>
      </c>
      <c r="F20" s="456" t="e">
        <f t="shared" si="0"/>
        <v>#VALUE!</v>
      </c>
      <c r="G20" s="456">
        <f t="shared" si="0"/>
        <v>0</v>
      </c>
      <c r="H20" s="456" t="e">
        <f t="shared" si="0"/>
        <v>#VALUE!</v>
      </c>
      <c r="I20" s="457" t="e">
        <f>+I23*'Cálculo % Fijo de Ret.Fte.'!G16</f>
        <v>#VALUE!</v>
      </c>
      <c r="J20" s="456">
        <f t="shared" si="0"/>
        <v>0</v>
      </c>
      <c r="K20" s="456">
        <f t="shared" si="0"/>
        <v>0</v>
      </c>
      <c r="L20" s="458" t="e">
        <f t="shared" si="0"/>
        <v>#VALUE!</v>
      </c>
      <c r="M20" s="475"/>
      <c r="N20" s="478">
        <f>'Cálculo % Fijo de Ret.Fte.'!G16*'Cálculo % Fijo de Ret.Fte.'!F83*12</f>
        <v>91753920</v>
      </c>
      <c r="O20" s="227" t="s">
        <v>186</v>
      </c>
    </row>
    <row r="21" spans="1:16" s="227" customFormat="1" ht="16.149999999999999" hidden="1" customHeight="1" thickBot="1" x14ac:dyDescent="0.3">
      <c r="A21" s="403" t="s">
        <v>148</v>
      </c>
      <c r="B21" s="404"/>
      <c r="C21" s="404"/>
      <c r="D21" s="405"/>
      <c r="E21" s="406"/>
      <c r="F21" s="407"/>
      <c r="G21" s="408"/>
      <c r="H21" s="407"/>
      <c r="I21" s="409" t="e">
        <f>-I20+I22</f>
        <v>#VALUE!</v>
      </c>
      <c r="J21" s="410"/>
      <c r="K21" s="411"/>
      <c r="L21" s="412"/>
    </row>
    <row r="22" spans="1:16" s="227" customFormat="1" ht="15.75" thickBot="1" x14ac:dyDescent="0.3">
      <c r="A22" s="429" t="s">
        <v>150</v>
      </c>
      <c r="B22" s="239"/>
      <c r="C22" s="433"/>
      <c r="D22" s="428" t="e">
        <f>SUM(D18:D19)</f>
        <v>#VALUE!</v>
      </c>
      <c r="E22" s="383"/>
      <c r="F22" s="332" t="e">
        <f>SUM(F18:F19)</f>
        <v>#VALUE!</v>
      </c>
      <c r="G22" s="383"/>
      <c r="H22" s="332" t="e">
        <f>SUM(H18:H19)</f>
        <v>#VALUE!</v>
      </c>
      <c r="I22" s="332" t="e">
        <f>+I23*'Cálculo % Fijo de Ret.Fte.'!G16</f>
        <v>#VALUE!</v>
      </c>
      <c r="J22" s="384"/>
      <c r="K22" s="385"/>
      <c r="L22" s="386" t="e">
        <f>SUM(L18:L19)</f>
        <v>#VALUE!</v>
      </c>
      <c r="M22" s="474" t="e">
        <f>IF(ROUND(I18+I19-I22,0)=0,"OK","DIFERENCIA")</f>
        <v>#VALUE!</v>
      </c>
      <c r="N22" s="417" t="s">
        <v>144</v>
      </c>
      <c r="O22" s="342" t="s">
        <v>145</v>
      </c>
    </row>
    <row r="23" spans="1:16" s="227" customFormat="1" ht="15.75" thickBot="1" x14ac:dyDescent="0.3">
      <c r="A23" s="292" t="s">
        <v>151</v>
      </c>
      <c r="B23" s="228"/>
      <c r="C23" s="228"/>
      <c r="D23" s="318" t="e">
        <f>+D22/'Cálculo % Fijo de Ret.Fte.'!G16</f>
        <v>#VALUE!</v>
      </c>
      <c r="E23" s="308"/>
      <c r="F23" s="255" t="e">
        <f>+F22/'Cálculo % Fijo de Ret.Fte.'!G16</f>
        <v>#VALUE!</v>
      </c>
      <c r="G23" s="308"/>
      <c r="H23" s="255" t="e">
        <f>+H22/'Cálculo % Fijo de Ret.Fte.'!G16</f>
        <v>#VALUE!</v>
      </c>
      <c r="I23" s="255" t="e">
        <f>IF(A2="PARA TRABAJADORES INDEPENDIENTES sin CATEGORÍA DE EMPLEADOS",0,VLOOKUP(N31,'Impto ROrdinario'!G23:H26,2,FALSE))</f>
        <v>#VALUE!</v>
      </c>
      <c r="J23" s="309"/>
      <c r="K23" s="310"/>
      <c r="L23" s="472" t="e">
        <f>IF(L22&gt;0,+L22/'Cálculo % Fijo de Ret.Fte.'!G16,0)</f>
        <v>#VALUE!</v>
      </c>
      <c r="M23" s="476" t="e">
        <f>ROUND(+I22-N18,0)</f>
        <v>#VALUE!</v>
      </c>
      <c r="N23" s="473" t="e">
        <f>+I22</f>
        <v>#VALUE!</v>
      </c>
      <c r="O23" s="341" t="e">
        <f>+I22</f>
        <v>#VALUE!</v>
      </c>
      <c r="P23" s="227" t="s">
        <v>173</v>
      </c>
    </row>
    <row r="24" spans="1:16" s="227" customFormat="1" hidden="1" x14ac:dyDescent="0.25">
      <c r="A24" s="349" t="s">
        <v>152</v>
      </c>
      <c r="B24" s="350"/>
      <c r="C24" s="350"/>
      <c r="D24" s="351"/>
      <c r="E24" s="352"/>
      <c r="F24" s="353"/>
      <c r="G24" s="352"/>
      <c r="H24" s="353"/>
      <c r="I24" s="353" t="e">
        <f>+D27</f>
        <v>#VALUE!</v>
      </c>
      <c r="J24" s="354"/>
      <c r="K24" s="355"/>
      <c r="L24" s="356"/>
      <c r="M24" s="348"/>
      <c r="N24" s="341" t="e">
        <f>+I19</f>
        <v>#VALUE!</v>
      </c>
      <c r="O24" s="341" t="e">
        <f>+I19</f>
        <v>#VALUE!</v>
      </c>
      <c r="P24" s="227" t="s">
        <v>174</v>
      </c>
    </row>
    <row r="25" spans="1:16" s="227" customFormat="1" hidden="1" x14ac:dyDescent="0.25">
      <c r="A25" s="357" t="s">
        <v>153</v>
      </c>
      <c r="B25" s="358"/>
      <c r="C25" s="358"/>
      <c r="D25" s="359"/>
      <c r="E25" s="360"/>
      <c r="F25" s="361"/>
      <c r="G25" s="362"/>
      <c r="H25" s="361"/>
      <c r="I25" s="361" t="e">
        <f>ROUND(+I24*'Cálculo % Fijo de Ret.Fte.'!G16,-3)</f>
        <v>#VALUE!</v>
      </c>
      <c r="J25" s="363"/>
      <c r="K25" s="364"/>
      <c r="L25" s="365"/>
      <c r="N25" s="341" t="e">
        <f>+N23-N24</f>
        <v>#VALUE!</v>
      </c>
      <c r="O25" s="341" t="e">
        <f>+O23-O24</f>
        <v>#VALUE!</v>
      </c>
      <c r="P25" s="227" t="s">
        <v>175</v>
      </c>
    </row>
    <row r="26" spans="1:16" s="227" customFormat="1" hidden="1" x14ac:dyDescent="0.25">
      <c r="A26" s="459" t="s">
        <v>155</v>
      </c>
      <c r="B26" s="460"/>
      <c r="C26" s="460"/>
      <c r="D26" s="461" t="e">
        <f>+D22</f>
        <v>#VALUE!</v>
      </c>
      <c r="E26" s="462"/>
      <c r="F26" s="463" t="e">
        <f>+F22</f>
        <v>#VALUE!</v>
      </c>
      <c r="G26" s="463"/>
      <c r="H26" s="463" t="e">
        <f>+H22</f>
        <v>#VALUE!</v>
      </c>
      <c r="I26" s="463" t="e">
        <f>+I20</f>
        <v>#VALUE!</v>
      </c>
      <c r="J26" s="464"/>
      <c r="K26" s="464"/>
      <c r="L26" s="465" t="e">
        <f>+L20</f>
        <v>#VALUE!</v>
      </c>
      <c r="N26" s="341" t="e">
        <f>ROUND(IF(A2="PARA TRABAJADORES INDEPENDIENTES sin CATEGORÍA DE EMPLEADOS",0,IF(N25=0,0,-(I8+I9+I10+I11+I12+I14+I15+I16+I17-N25))),0)</f>
        <v>#VALUE!</v>
      </c>
      <c r="O26" s="469" t="e">
        <f>IF(A2="PARA TRABAJADORES INDEPENDIENTES sin CATEGORÍA DE EMPLEADOS",0,IF(N25=0,0,-(I8+I9+I10+I11+I12+I14+I16+I17-N25)))</f>
        <v>#VALUE!</v>
      </c>
      <c r="P26" s="227" t="s">
        <v>76</v>
      </c>
    </row>
    <row r="27" spans="1:16" s="227" customFormat="1" ht="15.75" thickBot="1" x14ac:dyDescent="0.3">
      <c r="A27" s="296" t="s">
        <v>36</v>
      </c>
      <c r="B27" s="225"/>
      <c r="C27" s="225"/>
      <c r="D27" s="345" t="e">
        <f>IF(IMAN!G2&gt;0,IMAN!G2,IMAN!G3)</f>
        <v>#VALUE!</v>
      </c>
      <c r="E27" s="346"/>
      <c r="F27" s="347" t="e">
        <f>IF('Impto ROrdinario'!B2&gt;0,'Impto ROrdinario'!B2,'Impto ROrdinario'!B3)</f>
        <v>#N/A</v>
      </c>
      <c r="G27" s="347">
        <f>IF('Impto ROrdinario'!C2&gt;0,'Impto ROrdinario'!C2,'Impto ROrdinario'!C3)</f>
        <v>0</v>
      </c>
      <c r="H27" s="347" t="e">
        <f>IF('Impto ROrdinario'!B41&gt;0,'Impto ROrdinario'!B41,'Impto ROrdinario'!B42)</f>
        <v>#VALUE!</v>
      </c>
      <c r="I27" s="347" t="e">
        <f>IF('Impto ROrdinario'!B31&gt;0,'Impto ROrdinario'!B31,'Impto ROrdinario'!B32)</f>
        <v>#VALUE!</v>
      </c>
      <c r="J27" s="347">
        <f>IF('Impto ROrdinario'!E2&gt;0,'Impto ROrdinario'!E2,'Impto ROrdinario'!E3)</f>
        <v>0</v>
      </c>
      <c r="K27" s="347">
        <f>IF('Impto ROrdinario'!F2&gt;0,'Impto ROrdinario'!F2,'Impto ROrdinario'!F3)</f>
        <v>0</v>
      </c>
      <c r="L27" s="431" t="e">
        <f>IF(IMAS!F2&gt;0,IMAS!F2,IMAS!F3)</f>
        <v>#VALUE!</v>
      </c>
      <c r="N27" s="484" t="e">
        <f>IF(F12&lt;&gt;0,-(-N26+F12),N26)</f>
        <v>#VALUE!</v>
      </c>
      <c r="O27" s="341">
        <f>-'Cálculo % Fijo de Ret.Fte.'!F76*'Cálculo % Fijo de Ret.Fte.'!G16*12</f>
        <v>-38230800</v>
      </c>
      <c r="P27" s="227" t="s">
        <v>176</v>
      </c>
    </row>
    <row r="28" spans="1:16" s="227" customFormat="1" x14ac:dyDescent="0.25">
      <c r="A28" s="388" t="s">
        <v>165</v>
      </c>
      <c r="B28" s="389"/>
      <c r="C28" s="389"/>
      <c r="D28" s="390" t="e">
        <f>ROUND(+D27*'Cálculo % Fijo de Ret.Fte.'!G16,-3)</f>
        <v>#VALUE!</v>
      </c>
      <c r="E28" s="391"/>
      <c r="F28" s="392" t="e">
        <f>ROUND(F27*'Cálculo % Fijo de Ret.Fte.'!G16,-3)</f>
        <v>#N/A</v>
      </c>
      <c r="G28" s="392" t="e">
        <f>ROUND(G27*#REF!,-3)</f>
        <v>#REF!</v>
      </c>
      <c r="H28" s="392" t="e">
        <f>ROUND(H27*'Cálculo % Fijo de Ret.Fte.'!G16,-3)</f>
        <v>#VALUE!</v>
      </c>
      <c r="I28" s="392" t="e">
        <f>ROUND(I27*'Cálculo % Fijo de Ret.Fte.'!G16,-3)</f>
        <v>#VALUE!</v>
      </c>
      <c r="J28" s="393"/>
      <c r="K28" s="394"/>
      <c r="L28" s="395" t="e">
        <f>ROUND(+L27*'Cálculo % Fijo de Ret.Fte.'!G16,-3)</f>
        <v>#VALUE!</v>
      </c>
      <c r="N28" s="485" t="e">
        <f>IF(F12&lt;=0,N27)</f>
        <v>#VALUE!</v>
      </c>
      <c r="O28" s="341" t="e">
        <f>IF(O26-N11&lt;0,O26-N11,0)</f>
        <v>#VALUE!</v>
      </c>
      <c r="P28" s="344"/>
    </row>
    <row r="29" spans="1:16" s="227" customFormat="1" ht="15.75" thickBot="1" x14ac:dyDescent="0.3">
      <c r="A29" s="296" t="s">
        <v>142</v>
      </c>
      <c r="B29" s="225"/>
      <c r="C29" s="225"/>
      <c r="D29" s="236">
        <f>ROUND(-'Cálculo % Fijo de Ret.Fte.'!E91*12,-3)</f>
        <v>0</v>
      </c>
      <c r="E29" s="237"/>
      <c r="F29" s="238">
        <f>ROUND(-'Cálculo % Fijo de Ret.Fte.'!G91*12,-3)</f>
        <v>0</v>
      </c>
      <c r="G29" s="237"/>
      <c r="H29" s="238">
        <f>-ROUND('Cálculo % Fijo de Ret.Fte.'!K91*12,-3)</f>
        <v>0</v>
      </c>
      <c r="I29" s="238">
        <f>ROUND(-'Cálculo % Fijo de Ret.Fte.'!M91*12,-3)</f>
        <v>0</v>
      </c>
      <c r="J29" s="293"/>
      <c r="K29" s="294"/>
      <c r="L29" s="298" t="e">
        <f>IF(L4=0,0,IF(A2="PARA TRABAJADORES INDEPENDIENTES sin CATEGORÍA DE EMPLEADOS",0,IF(D29&lt;F29,D29,F29)))</f>
        <v>#VALUE!</v>
      </c>
      <c r="O29" s="414">
        <f>IF(F12&gt;0,O27-F12,O27)</f>
        <v>-38230800</v>
      </c>
    </row>
    <row r="30" spans="1:16" s="227" customFormat="1" ht="15.75" thickBot="1" x14ac:dyDescent="0.3">
      <c r="A30" s="420" t="s">
        <v>143</v>
      </c>
      <c r="B30" s="225"/>
      <c r="C30" s="225"/>
      <c r="D30" s="337" t="e">
        <f>IF(A2="PARA TRABAJADORES INDEPENDIENTES SIN CATEGORÍA DE EMPLEADOS",0,F30)</f>
        <v>#VALUE!</v>
      </c>
      <c r="E30" s="336"/>
      <c r="F30" s="445">
        <v>-758000</v>
      </c>
      <c r="G30" s="336"/>
      <c r="H30" s="421">
        <f>+F30</f>
        <v>-758000</v>
      </c>
      <c r="I30" s="337" t="e">
        <f>IF(A2="PARA TRABAJADORES INDEPENDIENTES SIN CATEGORÍA DE EMPLEADOS",0,F30)</f>
        <v>#VALUE!</v>
      </c>
      <c r="J30" s="338"/>
      <c r="K30" s="339"/>
      <c r="L30" s="340" t="e">
        <f>IF(L8=0,0,IF(A2="PARA TRABAJADORES INDEPENDIENTES sin CATEGORÍA DE EMPLEADOS",0,IF(F30&lt;0,F30,0)))</f>
        <v>#VALUE!</v>
      </c>
      <c r="O30" s="467" t="e">
        <f>IF(N27&gt;O29,O29-N27,O29)</f>
        <v>#VALUE!</v>
      </c>
      <c r="P30" s="468"/>
    </row>
    <row r="31" spans="1:16" s="227" customFormat="1" ht="15.75" thickBot="1" x14ac:dyDescent="0.3">
      <c r="A31" s="366" t="s">
        <v>113</v>
      </c>
      <c r="B31" s="367"/>
      <c r="C31" s="367"/>
      <c r="D31" s="368" t="e">
        <f>SUM(D28:D30)</f>
        <v>#VALUE!</v>
      </c>
      <c r="E31" s="369"/>
      <c r="F31" s="370" t="e">
        <f>SUM(F28:F30)</f>
        <v>#N/A</v>
      </c>
      <c r="G31" s="369"/>
      <c r="H31" s="370" t="e">
        <f>SUM(H28:H30)</f>
        <v>#VALUE!</v>
      </c>
      <c r="I31" s="370" t="e">
        <f>SUM(I28:I30)</f>
        <v>#VALUE!</v>
      </c>
      <c r="J31" s="371"/>
      <c r="K31" s="372"/>
      <c r="L31" s="373" t="e">
        <f>SUM(L28:L30)</f>
        <v>#VALUE!</v>
      </c>
      <c r="N31" s="227" t="s">
        <v>112</v>
      </c>
    </row>
    <row r="32" spans="1:16" s="227" customFormat="1" ht="15.75" thickBot="1" x14ac:dyDescent="0.3">
      <c r="A32" s="284"/>
      <c r="B32" s="239"/>
      <c r="C32" s="239"/>
      <c r="D32" s="240"/>
      <c r="E32" s="229"/>
      <c r="F32" s="241"/>
      <c r="G32" s="229"/>
      <c r="H32" s="241"/>
      <c r="I32" s="241"/>
      <c r="J32" s="293"/>
      <c r="K32" s="294"/>
      <c r="L32" s="299"/>
      <c r="N32" s="466" t="s">
        <v>177</v>
      </c>
      <c r="O32" s="493"/>
    </row>
    <row r="33" spans="1:17" s="227" customFormat="1" x14ac:dyDescent="0.25">
      <c r="A33" s="296" t="s">
        <v>117</v>
      </c>
      <c r="B33" s="225"/>
      <c r="C33" s="225"/>
      <c r="D33" s="231">
        <v>0</v>
      </c>
      <c r="E33" s="232"/>
      <c r="F33" s="235" t="e">
        <f>ROUND(-D28+F28,-3)</f>
        <v>#VALUE!</v>
      </c>
      <c r="G33" s="234"/>
      <c r="H33" s="235" t="e">
        <f>ROUND(-D28+H28,-3)</f>
        <v>#VALUE!</v>
      </c>
      <c r="I33" s="235" t="e">
        <f>ROUND(-D28+I25,-3)</f>
        <v>#VALUE!</v>
      </c>
      <c r="J33" s="293"/>
      <c r="K33" s="294"/>
      <c r="L33" s="297">
        <v>0</v>
      </c>
      <c r="N33" s="481" t="e">
        <f>+I22</f>
        <v>#VALUE!</v>
      </c>
      <c r="O33" s="491" t="e">
        <f>+I23*'Cálculo % Fijo de Ret.Fte.'!G16</f>
        <v>#VALUE!</v>
      </c>
      <c r="P33" s="473" t="e">
        <f>+I22</f>
        <v>#VALUE!</v>
      </c>
    </row>
    <row r="34" spans="1:17" s="227" customFormat="1" x14ac:dyDescent="0.25">
      <c r="A34" s="296" t="s">
        <v>116</v>
      </c>
      <c r="B34" s="225"/>
      <c r="C34" s="225"/>
      <c r="D34" s="231">
        <v>0</v>
      </c>
      <c r="E34" s="234"/>
      <c r="F34" s="233">
        <f>-$D$29+F29</f>
        <v>0</v>
      </c>
      <c r="G34" s="234"/>
      <c r="H34" s="233">
        <f>-$D$29+H29</f>
        <v>0</v>
      </c>
      <c r="I34" s="233">
        <f>ROUND(+I29-D29,-3)</f>
        <v>0</v>
      </c>
      <c r="J34" s="293"/>
      <c r="K34" s="294"/>
      <c r="L34" s="297">
        <v>0</v>
      </c>
      <c r="N34" s="481" t="e">
        <f>+I19</f>
        <v>#VALUE!</v>
      </c>
      <c r="O34" s="492" t="e">
        <f>O33*0.25/0.75</f>
        <v>#VALUE!</v>
      </c>
      <c r="P34" s="341" t="e">
        <f>+I19</f>
        <v>#VALUE!</v>
      </c>
    </row>
    <row r="35" spans="1:17" s="227" customFormat="1" x14ac:dyDescent="0.25">
      <c r="A35" s="292"/>
      <c r="B35" s="228"/>
      <c r="C35" s="228"/>
      <c r="D35" s="230"/>
      <c r="E35" s="229"/>
      <c r="F35" s="242"/>
      <c r="G35" s="229"/>
      <c r="H35" s="242"/>
      <c r="I35" s="242"/>
      <c r="J35" s="293"/>
      <c r="K35" s="294"/>
      <c r="L35" s="295"/>
      <c r="N35" s="481" t="e">
        <f>+N33-N34</f>
        <v>#VALUE!</v>
      </c>
      <c r="O35" s="492" t="e">
        <f>SUM(O33:O34)</f>
        <v>#VALUE!</v>
      </c>
      <c r="P35" s="341" t="e">
        <f>+P33-P34</f>
        <v>#VALUE!</v>
      </c>
      <c r="Q35" s="468"/>
    </row>
    <row r="36" spans="1:17" s="227" customFormat="1" x14ac:dyDescent="0.25">
      <c r="A36" s="494" t="s">
        <v>188</v>
      </c>
      <c r="B36" s="228"/>
      <c r="C36" s="228"/>
      <c r="D36" s="396" t="e">
        <f t="shared" ref="D36:L36" si="1">IF(D26&gt;0,-SUM(D9:D17)/SUM(D4:D7),0)</f>
        <v>#VALUE!</v>
      </c>
      <c r="E36" s="396">
        <f t="shared" si="1"/>
        <v>0</v>
      </c>
      <c r="F36" s="396" t="e">
        <f t="shared" si="1"/>
        <v>#VALUE!</v>
      </c>
      <c r="G36" s="396">
        <f t="shared" si="1"/>
        <v>0</v>
      </c>
      <c r="H36" s="396" t="e">
        <f t="shared" si="1"/>
        <v>#VALUE!</v>
      </c>
      <c r="I36" s="396" t="e">
        <f t="shared" si="1"/>
        <v>#VALUE!</v>
      </c>
      <c r="J36" s="396">
        <f t="shared" si="1"/>
        <v>0</v>
      </c>
      <c r="K36" s="396">
        <f t="shared" si="1"/>
        <v>0</v>
      </c>
      <c r="L36" s="397" t="e">
        <f t="shared" si="1"/>
        <v>#VALUE!</v>
      </c>
      <c r="M36" s="497"/>
      <c r="N36" s="481" t="e">
        <f>IF(A2="PARA TRABAJADORES INDEPENDIENTES sin CATEGORÍA DE EMPLEADOS",0,IF(N25=0,0,-(F8+F9+F10+F11+F12+F14+F16-N25)))</f>
        <v>#VALUE!</v>
      </c>
      <c r="O36" s="492" t="e">
        <f>IF(IF(A2="PARA TRABAJADORES INDEPENDIENTES sin CATEGORÍA DE EMPLEADOS",0,IF(N25=0,0,-(F4+F5+F6+F7+F12+F9+F10+F14+F11+F15+F16+F17-N25)))&lt;0,IF(A2="PARA TRABAJADORES INDEPENDIENTES sin CATEGORÍA DE EMPLEADOS",0,IF(N25=0,0,-(F4+F5+F6+F7+F12+F9+F10+F14+F11+F15+F16+F17-N25))),0)</f>
        <v>#VALUE!</v>
      </c>
      <c r="P36" s="341" t="e">
        <f>IF(A2="PARA TRABAJADORES INDEPENDIENTES sin CATEGORÍA DE EMPLEADOS",0,IF(N25=0,0,-(F8+F9+F10+F11+F12+F14+F15+F16+F17-N25)))</f>
        <v>#VALUE!</v>
      </c>
      <c r="Q36" s="468" t="e">
        <f>IF(P36&lt;0,P36,0)</f>
        <v>#VALUE!</v>
      </c>
    </row>
    <row r="37" spans="1:17" s="227" customFormat="1" ht="15.75" thickBot="1" x14ac:dyDescent="0.3">
      <c r="A37" s="285" t="s">
        <v>189</v>
      </c>
      <c r="B37" s="228"/>
      <c r="C37" s="228"/>
      <c r="D37" s="396" t="e">
        <f t="shared" ref="D37:L37" si="2">IF(D26&gt;0,-(D9+D13)/SUM(D4:D7),0)</f>
        <v>#VALUE!</v>
      </c>
      <c r="E37" s="396">
        <f t="shared" si="2"/>
        <v>0</v>
      </c>
      <c r="F37" s="396" t="e">
        <f>IF(F26&gt;0,-(F9+F13)/SUM(F4:F7),0)</f>
        <v>#VALUE!</v>
      </c>
      <c r="G37" s="396">
        <f t="shared" si="2"/>
        <v>0</v>
      </c>
      <c r="H37" s="396" t="e">
        <f t="shared" si="2"/>
        <v>#VALUE!</v>
      </c>
      <c r="I37" s="396" t="e">
        <f t="shared" si="2"/>
        <v>#VALUE!</v>
      </c>
      <c r="J37" s="396">
        <f t="shared" si="2"/>
        <v>0</v>
      </c>
      <c r="K37" s="396">
        <f t="shared" si="2"/>
        <v>0</v>
      </c>
      <c r="L37" s="397" t="e">
        <f t="shared" si="2"/>
        <v>#VALUE!</v>
      </c>
      <c r="N37" s="495" t="e">
        <f>+N36+N13</f>
        <v>#VALUE!</v>
      </c>
      <c r="O37" s="496" t="e">
        <f>+O36+N13</f>
        <v>#VALUE!</v>
      </c>
      <c r="P37" s="482">
        <f>IF('Cálculo % Fijo de Ret.Fte.'!F54*12&gt;'Cálculo % Fijo de Ret.Fte.'!F76*'Cálculo % Fijo de Ret.Fte.'!G16*12,-'Cálculo % Fijo de Ret.Fte.'!F76*'Cálculo % Fijo de Ret.Fte.'!G16*12,-'Cálculo % Fijo de Ret.Fte.'!F54*12)</f>
        <v>0</v>
      </c>
      <c r="Q37" s="468">
        <f>IF(P37&lt;0,P37,0)</f>
        <v>0</v>
      </c>
    </row>
    <row r="38" spans="1:17" s="227" customFormat="1" ht="15.75" thickBot="1" x14ac:dyDescent="0.3">
      <c r="A38" s="286" t="s">
        <v>32</v>
      </c>
      <c r="B38" s="228"/>
      <c r="C38" s="228"/>
      <c r="D38" s="396" t="e">
        <f t="shared" ref="D38:L38" si="3">IF(D26&gt;0,-(D15)/SUM(D4:D7),0)</f>
        <v>#VALUE!</v>
      </c>
      <c r="E38" s="396">
        <f t="shared" si="3"/>
        <v>0</v>
      </c>
      <c r="F38" s="396" t="e">
        <f t="shared" si="3"/>
        <v>#VALUE!</v>
      </c>
      <c r="G38" s="396">
        <f t="shared" si="3"/>
        <v>0</v>
      </c>
      <c r="H38" s="396" t="e">
        <f t="shared" si="3"/>
        <v>#VALUE!</v>
      </c>
      <c r="I38" s="396" t="e">
        <f t="shared" si="3"/>
        <v>#VALUE!</v>
      </c>
      <c r="J38" s="396">
        <f t="shared" si="3"/>
        <v>0</v>
      </c>
      <c r="K38" s="396">
        <f t="shared" si="3"/>
        <v>0</v>
      </c>
      <c r="L38" s="397" t="e">
        <f t="shared" si="3"/>
        <v>#VALUE!</v>
      </c>
      <c r="N38" s="490" t="s">
        <v>185</v>
      </c>
      <c r="O38" s="413"/>
      <c r="Q38" s="468">
        <f>+F8+F9+F10+F11+F12+F14+F16</f>
        <v>0</v>
      </c>
    </row>
    <row r="39" spans="1:17" s="227" customFormat="1" x14ac:dyDescent="0.25">
      <c r="A39" s="285" t="s">
        <v>33</v>
      </c>
      <c r="B39" s="228"/>
      <c r="C39" s="228"/>
      <c r="D39" s="396" t="e">
        <f t="shared" ref="D39:L39" si="4">IF(D26&gt;0,-(D14+D16)/SUM(D4:D7),0)</f>
        <v>#VALUE!</v>
      </c>
      <c r="E39" s="396">
        <f t="shared" si="4"/>
        <v>0</v>
      </c>
      <c r="F39" s="396" t="e">
        <f t="shared" si="4"/>
        <v>#VALUE!</v>
      </c>
      <c r="G39" s="396">
        <f t="shared" si="4"/>
        <v>0</v>
      </c>
      <c r="H39" s="396" t="e">
        <f t="shared" si="4"/>
        <v>#VALUE!</v>
      </c>
      <c r="I39" s="396" t="e">
        <f t="shared" si="4"/>
        <v>#VALUE!</v>
      </c>
      <c r="J39" s="396">
        <f t="shared" si="4"/>
        <v>0</v>
      </c>
      <c r="K39" s="396">
        <f t="shared" si="4"/>
        <v>0</v>
      </c>
      <c r="L39" s="397" t="e">
        <f t="shared" si="4"/>
        <v>#VALUE!</v>
      </c>
      <c r="N39" s="483" t="e">
        <f>+I22</f>
        <v>#VALUE!</v>
      </c>
      <c r="O39" s="413"/>
      <c r="Q39" s="468" t="e">
        <f>SUM(Q36:Q38)</f>
        <v>#VALUE!</v>
      </c>
    </row>
    <row r="40" spans="1:17" s="227" customFormat="1" x14ac:dyDescent="0.25">
      <c r="A40" s="292" t="s">
        <v>178</v>
      </c>
      <c r="B40" s="228"/>
      <c r="C40" s="228"/>
      <c r="D40" s="487" t="e">
        <f t="shared" ref="D40:L40" si="5">IF(D26&gt;0,-(D10+D11+D14+D15+D16+D17)/SUM(D4:D7),0)</f>
        <v>#VALUE!</v>
      </c>
      <c r="E40" s="487">
        <f>IF(E26&gt;0,-(E10+E11+E14+E15+E16+E17)/SUM(E4:E7),0)</f>
        <v>0</v>
      </c>
      <c r="F40" s="487" t="e">
        <f>IF(F26&gt;0,-(F10+F11+F14+F15+F16+F17)/SUM(F4:F7),0)</f>
        <v>#VALUE!</v>
      </c>
      <c r="G40" s="487">
        <f t="shared" si="5"/>
        <v>0</v>
      </c>
      <c r="H40" s="487" t="e">
        <f t="shared" si="5"/>
        <v>#VALUE!</v>
      </c>
      <c r="I40" s="487" t="e">
        <f>IF(I26&gt;0,-(I10+I11+I14+I15+I16+I17)/SUM(I4:I7),0)</f>
        <v>#VALUE!</v>
      </c>
      <c r="J40" s="487">
        <f t="shared" si="5"/>
        <v>0</v>
      </c>
      <c r="K40" s="487">
        <f t="shared" si="5"/>
        <v>0</v>
      </c>
      <c r="L40" s="488" t="e">
        <f t="shared" si="5"/>
        <v>#VALUE!</v>
      </c>
      <c r="N40" s="483" t="e">
        <f>+I19</f>
        <v>#VALUE!</v>
      </c>
      <c r="O40" s="413"/>
      <c r="Q40" s="344" t="e">
        <f>IF(IF(A2="PARA TRABAJADORES INDEPENDIENTES SIN CATEGORÍA DE EMPLEADOS",0,-((I20*0.25/0.75)-(N16+N17+F12)*(0.25/0.75)))&lt;-N20,-N20,IF(A2="PARA TRABAJADORES INDEPENDIENTES SIN CATEGORÍA DE EMPLEADOS",0,-((I20*0.25/0.75)-(N16+N17+F12)*(0.25/0.75))))</f>
        <v>#VALUE!</v>
      </c>
    </row>
    <row r="41" spans="1:17" s="227" customFormat="1" x14ac:dyDescent="0.25">
      <c r="A41" s="278" t="s">
        <v>187</v>
      </c>
      <c r="B41" s="228"/>
      <c r="C41" s="228"/>
      <c r="D41" s="487" t="e">
        <f>IF(A2="PARA ASALARIADOS CON CATEGORÍA DE EMPLEADOS",0,IF(D26&gt;0,-D17/D5,0))</f>
        <v>#VALUE!</v>
      </c>
      <c r="E41" s="487">
        <f t="shared" ref="E41:K41" si="6">IF(E26&gt;0,-E17/E5,0)</f>
        <v>0</v>
      </c>
      <c r="F41" s="487" t="e">
        <f>IF(A2="PARA ASALARIADOS CON CATEGORÍA DE EMPLEADOS",0,IF(F5=0,0,IF(F26&gt;0,-F17/F5,0)))</f>
        <v>#VALUE!</v>
      </c>
      <c r="G41" s="487">
        <f t="shared" si="6"/>
        <v>0</v>
      </c>
      <c r="H41" s="487" t="e">
        <f>IF(A2="PARA ASALARIADOS CON CATEGORÍA DE EMPLEADOS",0,IF(F5=0,0,IF(H26&gt;0,-H17/H5,0)))</f>
        <v>#VALUE!</v>
      </c>
      <c r="I41" s="487" t="e">
        <f>IF(A2="PARA ASALARIADOS CON CATEGORÍA DE EMPLEADOS",0,IF(F5=0,0,IF(I26&gt;0,-I17/I5,0)))</f>
        <v>#VALUE!</v>
      </c>
      <c r="J41" s="487">
        <f t="shared" si="6"/>
        <v>0</v>
      </c>
      <c r="K41" s="487">
        <f t="shared" si="6"/>
        <v>0</v>
      </c>
      <c r="L41" s="488" t="e">
        <f>IF(A2="PARA ASALARIADOS CON CATEGORÍA DE EMPLEADOS",0,IF(L26&gt;0,IF(L17&gt;0,-L17/L5,0),0))</f>
        <v>#VALUE!</v>
      </c>
      <c r="N41" s="483"/>
      <c r="O41" s="475"/>
      <c r="Q41" s="344" t="e">
        <f>+Q39+Q40</f>
        <v>#VALUE!</v>
      </c>
    </row>
    <row r="42" spans="1:17" s="227" customFormat="1" ht="15" customHeight="1" thickBot="1" x14ac:dyDescent="0.3">
      <c r="A42" s="300" t="s">
        <v>41</v>
      </c>
      <c r="B42" s="301"/>
      <c r="C42" s="301"/>
      <c r="D42" s="398" t="e">
        <f>IF(D4=0,0,D28/(D4+D5+D6+D7))</f>
        <v>#VALUE!</v>
      </c>
      <c r="E42" s="399"/>
      <c r="F42" s="398">
        <f>IF(F4=0,0,F28/(F4+F5+F6+F7))</f>
        <v>0</v>
      </c>
      <c r="G42" s="399"/>
      <c r="H42" s="398">
        <f>IF(H4=0,0,H28/(H4+H5+H6+H7))</f>
        <v>0</v>
      </c>
      <c r="I42" s="398" t="e">
        <f>IF(I4=0,0,I28/(I4+I5+I6+I7))</f>
        <v>#VALUE!</v>
      </c>
      <c r="J42" s="400"/>
      <c r="K42" s="401"/>
      <c r="L42" s="402" t="e">
        <f>IF(L4=0,0,L28/(L4+N26+L6+L7))</f>
        <v>#VALUE!</v>
      </c>
      <c r="N42" s="483" t="e">
        <f>+N39-N40</f>
        <v>#VALUE!</v>
      </c>
      <c r="O42" s="413"/>
      <c r="Q42" s="344" t="e">
        <f>-Q41+I22</f>
        <v>#VALUE!</v>
      </c>
    </row>
    <row r="43" spans="1:17" x14ac:dyDescent="0.25">
      <c r="N43" s="483" t="e">
        <f>IF(A2="PARA TRABAJADORES INDEPENDIENTES sin CATEGORÍA DE EMPLEADOS",0,IF(N25=0,0,-(I8+I9+I10+I11+I14+I16-N25)))</f>
        <v>#VALUE!</v>
      </c>
    </row>
    <row r="44" spans="1:17" ht="15.75" thickBot="1" x14ac:dyDescent="0.3">
      <c r="A44" s="489"/>
      <c r="B44" s="489"/>
      <c r="C44" s="489"/>
      <c r="D44" s="1050" t="e">
        <f>IF(F40&gt;50%,"¡Atención! Los costos y deducciones totales superan el 50% de los ingresos","")</f>
        <v>#VALUE!</v>
      </c>
      <c r="E44" s="1051"/>
      <c r="F44" s="1051"/>
      <c r="G44" s="1051"/>
      <c r="H44" s="1051"/>
      <c r="I44" s="1051"/>
      <c r="J44" s="1051"/>
      <c r="K44" s="1051"/>
      <c r="L44" s="1052"/>
      <c r="N44" s="484" t="e">
        <f>IF(M22="ERROR",0,IF(I12&gt;N43,I12,N43))</f>
        <v>#VALUE!</v>
      </c>
    </row>
    <row r="45" spans="1:17" x14ac:dyDescent="0.25">
      <c r="A45" s="489"/>
      <c r="B45" s="489"/>
      <c r="C45" s="489"/>
      <c r="D45" s="1050" t="e">
        <f>IF(F41&gt;50%,"¡Atención! Los costos de la actividad superan el 50% de los ingresos por honorarios","")</f>
        <v>#VALUE!</v>
      </c>
      <c r="E45" s="1051"/>
      <c r="F45" s="1051"/>
      <c r="G45" s="1051"/>
      <c r="H45" s="1051"/>
      <c r="I45" s="1051"/>
      <c r="J45" s="1051"/>
      <c r="K45" s="1051"/>
      <c r="L45" s="1052"/>
    </row>
    <row r="46" spans="1:17" ht="18" x14ac:dyDescent="0.25">
      <c r="K46" s="226">
        <v>5</v>
      </c>
    </row>
  </sheetData>
  <sheetProtection password="BE45" sheet="1" objects="1" scenarios="1"/>
  <mergeCells count="7">
    <mergeCell ref="A1:L1"/>
    <mergeCell ref="C12:C17"/>
    <mergeCell ref="C9:C11"/>
    <mergeCell ref="D44:L44"/>
    <mergeCell ref="D45:L45"/>
    <mergeCell ref="E3:F3"/>
    <mergeCell ref="G3:H3"/>
  </mergeCells>
  <conditionalFormatting sqref="M22">
    <cfRule type="cellIs" dxfId="10" priority="12" stopIfTrue="1" operator="equal">
      <formula>"INGRESOS EXCEDEN OPTIMIZACIÓN"</formula>
    </cfRule>
    <cfRule type="cellIs" dxfId="9" priority="13" stopIfTrue="1" operator="equal">
      <formula>"DIFERENCIA"</formula>
    </cfRule>
    <cfRule type="cellIs" dxfId="8" priority="14" stopIfTrue="1" operator="equal">
      <formula>"OK"</formula>
    </cfRule>
  </conditionalFormatting>
  <conditionalFormatting sqref="D40:L41">
    <cfRule type="cellIs" dxfId="7" priority="9" stopIfTrue="1" operator="greaterThan">
      <formula>0.5</formula>
    </cfRule>
  </conditionalFormatting>
  <conditionalFormatting sqref="M23">
    <cfRule type="cellIs" dxfId="6" priority="1" stopIfTrue="1" operator="lessThan">
      <formula>0</formula>
    </cfRule>
    <cfRule type="cellIs" dxfId="5" priority="2" stopIfTrue="1" operator="greaterThan">
      <formula>0</formula>
    </cfRule>
    <cfRule type="cellIs" dxfId="4" priority="3" stopIfTrue="1" operator="equal">
      <formula>0</formula>
    </cfRule>
    <cfRule type="cellIs" dxfId="3" priority="4" stopIfTrue="1" operator="equal">
      <formula>" -   "</formula>
    </cfRule>
    <cfRule type="cellIs" dxfId="2" priority="5" stopIfTrue="1" operator="equal">
      <formula>" -   "</formula>
    </cfRule>
    <cfRule type="cellIs" dxfId="1" priority="6" stopIfTrue="1" operator="lessThan">
      <formula>" -   "</formula>
    </cfRule>
    <cfRule type="cellIs" dxfId="0" priority="7" stopIfTrue="1" operator="greaterThan">
      <formula>" -   "</formula>
    </cfRule>
  </conditionalFormatting>
  <pageMargins left="1.1023622047244095" right="0.70866141732283472" top="0.74803149606299213" bottom="0.55118110236220474" header="0.31496062992125984" footer="0.31496062992125984"/>
  <pageSetup scale="95" orientation="landscape" r:id="rId1"/>
  <drawing r:id="rId2"/>
  <legacyDrawing r:id="rId3"/>
  <oleObjects>
    <mc:AlternateContent xmlns:mc="http://schemas.openxmlformats.org/markup-compatibility/2006">
      <mc:Choice Requires="x14">
        <oleObject progId="CorelDRAW.Graphic.13" shapeId="9616" r:id="rId4">
          <objectPr defaultSize="0" autoPict="0" r:id="rId5">
            <anchor moveWithCells="1" sizeWithCells="1">
              <from>
                <xdr:col>11</xdr:col>
                <xdr:colOff>114300</xdr:colOff>
                <xdr:row>0</xdr:row>
                <xdr:rowOff>28575</xdr:rowOff>
              </from>
              <to>
                <xdr:col>11</xdr:col>
                <xdr:colOff>809625</xdr:colOff>
                <xdr:row>2</xdr:row>
                <xdr:rowOff>0</xdr:rowOff>
              </to>
            </anchor>
          </objectPr>
        </oleObject>
      </mc:Choice>
      <mc:Fallback>
        <oleObject progId="CorelDRAW.Graphic.13" shapeId="9616" r:id="rId4"/>
      </mc:Fallback>
    </mc:AlternateContent>
  </oleObjec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S59"/>
  <sheetViews>
    <sheetView topLeftCell="A60" workbookViewId="0">
      <selection activeCell="A59" sqref="A1:XFD59"/>
    </sheetView>
  </sheetViews>
  <sheetFormatPr baseColWidth="10" defaultRowHeight="15" x14ac:dyDescent="0.25"/>
  <cols>
    <col min="4" max="4" width="16.7109375" customWidth="1"/>
  </cols>
  <sheetData>
    <row r="1" spans="1:19" s="154" customFormat="1" hidden="1" x14ac:dyDescent="0.25">
      <c r="A1" s="187" t="s">
        <v>103</v>
      </c>
      <c r="B1" s="187" t="s">
        <v>89</v>
      </c>
      <c r="C1" s="187" t="s">
        <v>72</v>
      </c>
      <c r="D1" s="187" t="s">
        <v>104</v>
      </c>
      <c r="E1" s="187" t="s">
        <v>74</v>
      </c>
      <c r="F1" s="187" t="s">
        <v>75</v>
      </c>
      <c r="G1" s="187" t="s">
        <v>76</v>
      </c>
      <c r="H1" s="188" t="s">
        <v>105</v>
      </c>
      <c r="K1" s="189"/>
      <c r="O1" s="151"/>
      <c r="P1" s="151"/>
      <c r="Q1" s="190"/>
      <c r="R1" s="190"/>
      <c r="S1" s="151"/>
    </row>
    <row r="2" spans="1:19" s="154" customFormat="1" hidden="1" x14ac:dyDescent="0.25">
      <c r="A2" s="191">
        <f>IF(D3&gt;H8,0,VLOOKUP(C2,H:K,4,FALSE))</f>
        <v>0</v>
      </c>
      <c r="B2" s="192" t="e">
        <f>IF(D3&gt;H8,0,VLOOKUP(C2,G5:K8,5,FALSE))</f>
        <v>#N/A</v>
      </c>
      <c r="C2" s="193">
        <v>0</v>
      </c>
      <c r="D2" s="194">
        <f>+'Declaración de Renta'!G86</f>
        <v>-6.0000000000000002E-6</v>
      </c>
      <c r="F2" s="189"/>
      <c r="G2" s="195"/>
      <c r="K2" s="189"/>
      <c r="O2" s="151"/>
      <c r="P2" s="151"/>
      <c r="Q2" s="190"/>
      <c r="R2" s="190"/>
      <c r="S2" s="151"/>
    </row>
    <row r="3" spans="1:19" s="154" customFormat="1" hidden="1" x14ac:dyDescent="0.25">
      <c r="A3" s="194">
        <f>IF(D3&gt;H8,K8,0)</f>
        <v>0</v>
      </c>
      <c r="B3" s="194">
        <f>IF(D3&gt;H8,K8,0)</f>
        <v>0</v>
      </c>
      <c r="D3" s="194">
        <f>+D2/'Declaración de Renta'!G15</f>
        <v>-1.8832982830597319E-10</v>
      </c>
      <c r="E3" s="189"/>
      <c r="F3" s="189"/>
      <c r="G3" s="195"/>
      <c r="H3" s="196" t="s">
        <v>87</v>
      </c>
      <c r="I3" s="197"/>
      <c r="J3" s="1054" t="s">
        <v>94</v>
      </c>
      <c r="K3" s="1056" t="s">
        <v>89</v>
      </c>
      <c r="O3" s="151"/>
      <c r="P3" s="151"/>
      <c r="Q3" s="190"/>
      <c r="R3" s="190"/>
      <c r="S3" s="151"/>
    </row>
    <row r="4" spans="1:19" s="154" customFormat="1" hidden="1" x14ac:dyDescent="0.25">
      <c r="E4" s="189"/>
      <c r="F4" s="189"/>
      <c r="G4" s="195"/>
      <c r="H4" s="198" t="s">
        <v>106</v>
      </c>
      <c r="I4" s="198" t="s">
        <v>90</v>
      </c>
      <c r="J4" s="1055"/>
      <c r="K4" s="1057"/>
      <c r="O4" s="151"/>
      <c r="P4" s="151"/>
      <c r="Q4" s="190"/>
      <c r="R4" s="190"/>
      <c r="S4" s="151"/>
    </row>
    <row r="5" spans="1:19" s="154" customFormat="1" hidden="1" x14ac:dyDescent="0.25">
      <c r="E5" s="189">
        <f>IF($D$3&gt;=H5,$D$3,0)</f>
        <v>0</v>
      </c>
      <c r="F5" s="189">
        <f>IF($D$3&lt;=I5,$D$3,0)</f>
        <v>-1.8832982830597319E-10</v>
      </c>
      <c r="G5" s="195">
        <f>+E5-F5</f>
        <v>1.8832982830597319E-10</v>
      </c>
      <c r="H5" s="199">
        <v>0</v>
      </c>
      <c r="I5" s="199">
        <v>1090</v>
      </c>
      <c r="J5" s="200">
        <v>0</v>
      </c>
      <c r="K5" s="199">
        <v>0</v>
      </c>
      <c r="O5" s="151"/>
      <c r="P5" s="151"/>
      <c r="Q5" s="190"/>
      <c r="R5" s="190"/>
      <c r="S5" s="151"/>
    </row>
    <row r="6" spans="1:19" s="154" customFormat="1" hidden="1" x14ac:dyDescent="0.25">
      <c r="B6" s="189"/>
      <c r="E6" s="189">
        <f>IF($D$3&gt;=H6,$D$3,0)</f>
        <v>0</v>
      </c>
      <c r="F6" s="189">
        <f>IF($D$3&lt;=I6,$D$3,0)</f>
        <v>-1.8832982830597319E-10</v>
      </c>
      <c r="G6" s="195">
        <f>+E6-F6</f>
        <v>1.8832982830597319E-10</v>
      </c>
      <c r="H6" s="199">
        <v>1090</v>
      </c>
      <c r="I6" s="199">
        <v>1700</v>
      </c>
      <c r="J6" s="200">
        <v>0.19</v>
      </c>
      <c r="K6" s="199">
        <f>+($D$3-H6)*J6</f>
        <v>-207.10000000003578</v>
      </c>
      <c r="O6" s="151"/>
      <c r="P6" s="151"/>
      <c r="Q6" s="190"/>
      <c r="R6" s="190"/>
      <c r="S6" s="151"/>
    </row>
    <row r="7" spans="1:19" s="154" customFormat="1" hidden="1" x14ac:dyDescent="0.25">
      <c r="B7" s="189"/>
      <c r="E7" s="189">
        <f>IF($D$3&gt;=H7,$D$3,0)</f>
        <v>0</v>
      </c>
      <c r="F7" s="189">
        <f>IF($D$3&lt;=I7,$D$3,0)</f>
        <v>-1.8832982830597319E-10</v>
      </c>
      <c r="G7" s="195">
        <f>+E7-F7</f>
        <v>1.8832982830597319E-10</v>
      </c>
      <c r="H7" s="199">
        <v>1700</v>
      </c>
      <c r="I7" s="199">
        <v>4100</v>
      </c>
      <c r="J7" s="200">
        <v>0.28000000000000003</v>
      </c>
      <c r="K7" s="199">
        <f>+($D$3-H7)*J7+116</f>
        <v>-360.00000000005275</v>
      </c>
      <c r="O7" s="151"/>
      <c r="P7" s="151"/>
      <c r="Q7" s="190"/>
      <c r="R7" s="190"/>
      <c r="S7" s="151"/>
    </row>
    <row r="8" spans="1:19" s="154" customFormat="1" hidden="1" x14ac:dyDescent="0.25">
      <c r="B8" s="201"/>
      <c r="E8" s="189">
        <f>IF($D$3&gt;=H8,$D$3,0)</f>
        <v>0</v>
      </c>
      <c r="F8" s="189">
        <f>IF($D$3&lt;=I8,$D$3,0)</f>
        <v>-1.8832982830597319E-10</v>
      </c>
      <c r="G8" s="195">
        <f>+E8-F8</f>
        <v>1.8832982830597319E-10</v>
      </c>
      <c r="H8" s="199">
        <v>4100</v>
      </c>
      <c r="I8" s="199" t="s">
        <v>68</v>
      </c>
      <c r="J8" s="200">
        <v>0.33</v>
      </c>
      <c r="K8" s="199">
        <f>+($D$3-H8)*J8+788</f>
        <v>-565.0000000000623</v>
      </c>
      <c r="O8" s="151"/>
      <c r="P8" s="151"/>
      <c r="Q8" s="190"/>
      <c r="R8" s="190"/>
      <c r="S8" s="151"/>
    </row>
    <row r="9" spans="1:19" hidden="1" x14ac:dyDescent="0.25"/>
    <row r="10" spans="1:19" hidden="1" x14ac:dyDescent="0.25"/>
    <row r="11" spans="1:19" hidden="1" x14ac:dyDescent="0.25"/>
    <row r="12" spans="1:19" s="154" customFormat="1" hidden="1" x14ac:dyDescent="0.25">
      <c r="A12" s="187" t="s">
        <v>103</v>
      </c>
      <c r="B12" s="187" t="s">
        <v>89</v>
      </c>
      <c r="C12" s="187" t="s">
        <v>72</v>
      </c>
      <c r="D12" s="187" t="s">
        <v>104</v>
      </c>
      <c r="E12" s="187" t="s">
        <v>74</v>
      </c>
      <c r="F12" s="187" t="s">
        <v>75</v>
      </c>
      <c r="G12" s="187" t="s">
        <v>76</v>
      </c>
      <c r="H12" s="188" t="s">
        <v>105</v>
      </c>
      <c r="K12" s="189"/>
      <c r="O12" s="151"/>
      <c r="P12" s="151"/>
      <c r="Q12" s="190"/>
      <c r="R12" s="190"/>
      <c r="S12" s="151"/>
    </row>
    <row r="13" spans="1:19" s="154" customFormat="1" hidden="1" x14ac:dyDescent="0.25">
      <c r="A13" s="191" t="e">
        <f>IF(D14&gt;H19,0,VLOOKUP(C13,H$12:K$20,4,FALSE))</f>
        <v>#VALUE!</v>
      </c>
      <c r="B13" s="192" t="e">
        <f>IF(D14&gt;H19,0,VLOOKUP(C13,G16:K19,5,FALSE))</f>
        <v>#VALUE!</v>
      </c>
      <c r="C13" s="193">
        <v>0</v>
      </c>
      <c r="D13" s="194" t="e">
        <f>+'Impuesto de Renta'!I22</f>
        <v>#VALUE!</v>
      </c>
      <c r="F13" s="189"/>
      <c r="G13" s="195"/>
      <c r="K13" s="189"/>
      <c r="O13" s="151"/>
      <c r="P13" s="151"/>
      <c r="Q13" s="190"/>
      <c r="R13" s="190"/>
      <c r="S13" s="151"/>
    </row>
    <row r="14" spans="1:19" s="154" customFormat="1" hidden="1" x14ac:dyDescent="0.25">
      <c r="A14" s="194" t="e">
        <f>IF(D14&gt;H19,K19,0)</f>
        <v>#VALUE!</v>
      </c>
      <c r="B14" s="194" t="e">
        <f>IF(D14&gt;H19,K19,0)</f>
        <v>#VALUE!</v>
      </c>
      <c r="D14" s="192" t="e">
        <f>+D13/'Cálculo % Fijo de Ret.Fte.'!G16</f>
        <v>#VALUE!</v>
      </c>
      <c r="E14" s="189"/>
      <c r="F14" s="189"/>
      <c r="G14" s="195"/>
      <c r="H14" s="196" t="s">
        <v>87</v>
      </c>
      <c r="I14" s="197"/>
      <c r="J14" s="1054" t="s">
        <v>94</v>
      </c>
      <c r="K14" s="1056" t="s">
        <v>89</v>
      </c>
      <c r="O14" s="151"/>
      <c r="P14" s="151"/>
      <c r="Q14" s="190"/>
      <c r="R14" s="190"/>
      <c r="S14" s="151"/>
    </row>
    <row r="15" spans="1:19" s="154" customFormat="1" hidden="1" x14ac:dyDescent="0.25">
      <c r="D15" s="320" t="e">
        <f>+'Impuesto de Renta'!D27</f>
        <v>#VALUE!</v>
      </c>
      <c r="E15" s="189"/>
      <c r="F15" s="189"/>
      <c r="G15" s="195"/>
      <c r="H15" s="198" t="s">
        <v>106</v>
      </c>
      <c r="I15" s="198" t="s">
        <v>90</v>
      </c>
      <c r="J15" s="1055"/>
      <c r="K15" s="1057"/>
      <c r="O15" s="151"/>
      <c r="P15" s="151"/>
      <c r="Q15" s="190"/>
      <c r="R15" s="190"/>
      <c r="S15" s="151"/>
    </row>
    <row r="16" spans="1:19" s="154" customFormat="1" hidden="1" x14ac:dyDescent="0.25">
      <c r="E16" s="189" t="e">
        <f>IF($D$14&gt;=H16,$D$14,0)</f>
        <v>#VALUE!</v>
      </c>
      <c r="F16" s="189" t="e">
        <f>IF($D$14&lt;=I16,$D$14,0)</f>
        <v>#VALUE!</v>
      </c>
      <c r="G16" s="195" t="e">
        <f>+E16-F16</f>
        <v>#VALUE!</v>
      </c>
      <c r="H16" s="199">
        <v>0</v>
      </c>
      <c r="I16" s="199">
        <v>1090</v>
      </c>
      <c r="J16" s="200">
        <v>0</v>
      </c>
      <c r="K16" s="199">
        <v>0</v>
      </c>
      <c r="O16" s="151"/>
      <c r="P16" s="151"/>
      <c r="Q16" s="190"/>
      <c r="R16" s="190"/>
      <c r="S16" s="151"/>
    </row>
    <row r="17" spans="1:19" s="154" customFormat="1" hidden="1" x14ac:dyDescent="0.25">
      <c r="B17" s="189"/>
      <c r="E17" s="189" t="e">
        <f>IF($D$14&gt;=H17,$D$14,0)</f>
        <v>#VALUE!</v>
      </c>
      <c r="F17" s="189" t="e">
        <f>IF($D$14&lt;=I17,$D$14,0)</f>
        <v>#VALUE!</v>
      </c>
      <c r="G17" s="195" t="e">
        <f>+E17-F17</f>
        <v>#VALUE!</v>
      </c>
      <c r="H17" s="199">
        <v>1090</v>
      </c>
      <c r="I17" s="199">
        <v>1700</v>
      </c>
      <c r="J17" s="200">
        <v>0.19</v>
      </c>
      <c r="K17" s="199" t="e">
        <f>+($D$14-H17)*J17</f>
        <v>#VALUE!</v>
      </c>
      <c r="O17" s="151"/>
      <c r="P17" s="151"/>
      <c r="Q17" s="190"/>
      <c r="R17" s="190"/>
      <c r="S17" s="151"/>
    </row>
    <row r="18" spans="1:19" s="154" customFormat="1" hidden="1" x14ac:dyDescent="0.25">
      <c r="B18" s="189"/>
      <c r="E18" s="189" t="e">
        <f>IF($D$14&gt;=H18,$D$14,0)</f>
        <v>#VALUE!</v>
      </c>
      <c r="F18" s="189" t="e">
        <f>IF($D$14&lt;=I18,$D$14,0)</f>
        <v>#VALUE!</v>
      </c>
      <c r="G18" s="195" t="e">
        <f>+E18-F18</f>
        <v>#VALUE!</v>
      </c>
      <c r="H18" s="199">
        <v>1700</v>
      </c>
      <c r="I18" s="199">
        <v>4100</v>
      </c>
      <c r="J18" s="200">
        <v>0.28000000000000003</v>
      </c>
      <c r="K18" s="199" t="e">
        <f>+($D$14-H18)*J18+116</f>
        <v>#VALUE!</v>
      </c>
      <c r="O18" s="151"/>
      <c r="P18" s="151"/>
      <c r="Q18" s="190"/>
      <c r="R18" s="190"/>
      <c r="S18" s="151"/>
    </row>
    <row r="19" spans="1:19" s="154" customFormat="1" hidden="1" x14ac:dyDescent="0.25">
      <c r="B19" s="201"/>
      <c r="E19" s="189" t="e">
        <f>IF($D$14&gt;=H19,$D$14,0)</f>
        <v>#VALUE!</v>
      </c>
      <c r="F19" s="189" t="e">
        <f>IF($D$14&lt;=I19,$D$14,0)</f>
        <v>#VALUE!</v>
      </c>
      <c r="G19" s="195" t="e">
        <f>+E19-F19</f>
        <v>#VALUE!</v>
      </c>
      <c r="H19" s="199">
        <v>4100</v>
      </c>
      <c r="I19" s="199" t="s">
        <v>68</v>
      </c>
      <c r="J19" s="200">
        <v>0.33</v>
      </c>
      <c r="K19" s="199" t="e">
        <f>+($D$14-H19)*J19+788</f>
        <v>#VALUE!</v>
      </c>
      <c r="O19" s="151"/>
      <c r="P19" s="151"/>
      <c r="Q19" s="190"/>
      <c r="R19" s="190"/>
      <c r="S19" s="151"/>
    </row>
    <row r="20" spans="1:19" hidden="1" x14ac:dyDescent="0.25"/>
    <row r="21" spans="1:19" s="142" customFormat="1" ht="12.75" hidden="1" thickBot="1" x14ac:dyDescent="0.25">
      <c r="A21" s="202" t="s">
        <v>131</v>
      </c>
      <c r="B21" s="202"/>
      <c r="C21" s="202"/>
      <c r="D21" s="202"/>
      <c r="F21" s="176"/>
    </row>
    <row r="22" spans="1:19" s="142" customFormat="1" ht="79.5" hidden="1" thickBot="1" x14ac:dyDescent="0.25">
      <c r="A22" s="243" t="s">
        <v>77</v>
      </c>
      <c r="B22" s="144" t="s">
        <v>78</v>
      </c>
      <c r="C22" s="144" t="s">
        <v>88</v>
      </c>
      <c r="D22" s="144" t="s">
        <v>89</v>
      </c>
      <c r="F22" s="244" t="s">
        <v>110</v>
      </c>
      <c r="G22" s="245" t="s">
        <v>72</v>
      </c>
      <c r="H22" s="244" t="s">
        <v>132</v>
      </c>
      <c r="I22" s="263" t="e">
        <f>+'Impuesto de Renta'!D27</f>
        <v>#VALUE!</v>
      </c>
    </row>
    <row r="23" spans="1:19" s="142" customFormat="1" ht="33" hidden="1" customHeight="1" thickBot="1" x14ac:dyDescent="0.35">
      <c r="A23" s="170">
        <v>0</v>
      </c>
      <c r="B23" s="170">
        <v>1090</v>
      </c>
      <c r="C23" s="171">
        <v>0</v>
      </c>
      <c r="D23" s="199">
        <v>0</v>
      </c>
      <c r="F23" s="261">
        <v>0</v>
      </c>
      <c r="G23" s="260" t="e">
        <f>IF(I22=0,"OK","")</f>
        <v>#VALUE!</v>
      </c>
      <c r="H23" s="261">
        <v>0</v>
      </c>
    </row>
    <row r="24" spans="1:19" s="142" customFormat="1" ht="33" hidden="1" customHeight="1" thickBot="1" x14ac:dyDescent="0.35">
      <c r="A24" s="170">
        <v>1090</v>
      </c>
      <c r="B24" s="170">
        <v>1700</v>
      </c>
      <c r="C24" s="171">
        <v>0.19</v>
      </c>
      <c r="D24" s="199" t="e">
        <f>+($D$14-A24)*C24</f>
        <v>#VALUE!</v>
      </c>
      <c r="F24" s="261">
        <v>0</v>
      </c>
      <c r="G24" s="260" t="e">
        <f>IF(AND(H24&gt;A24,H24&lt;B24),"OK","")</f>
        <v>#VALUE!</v>
      </c>
      <c r="H24" s="262" t="e">
        <f>+($I$22-F24)/C24+A24</f>
        <v>#VALUE!</v>
      </c>
    </row>
    <row r="25" spans="1:19" s="142" customFormat="1" ht="33" hidden="1" customHeight="1" thickBot="1" x14ac:dyDescent="0.35">
      <c r="A25" s="170">
        <v>1700</v>
      </c>
      <c r="B25" s="170">
        <v>4100</v>
      </c>
      <c r="C25" s="171">
        <v>0.28000000000000003</v>
      </c>
      <c r="D25" s="199" t="e">
        <f>+($D$14-A25)*C25+116</f>
        <v>#VALUE!</v>
      </c>
      <c r="F25" s="261">
        <v>116</v>
      </c>
      <c r="G25" s="260" t="e">
        <f>IF(AND(H25&gt;A25,H25&lt;B25),"OK","")</f>
        <v>#VALUE!</v>
      </c>
      <c r="H25" s="262" t="e">
        <f>+($I$22-F25)/C25+A25</f>
        <v>#VALUE!</v>
      </c>
    </row>
    <row r="26" spans="1:19" s="142" customFormat="1" ht="33" hidden="1" customHeight="1" thickBot="1" x14ac:dyDescent="0.35">
      <c r="A26" s="170">
        <v>4100</v>
      </c>
      <c r="B26" s="170" t="s">
        <v>68</v>
      </c>
      <c r="C26" s="171">
        <v>0.33</v>
      </c>
      <c r="D26" s="199" t="e">
        <f>+($D$14-A26)*C26+788</f>
        <v>#VALUE!</v>
      </c>
      <c r="F26" s="261">
        <v>788</v>
      </c>
      <c r="G26" s="260" t="e">
        <f>IF(AND(H26&gt;A26,H26&lt;B26),"OK","")</f>
        <v>#VALUE!</v>
      </c>
      <c r="H26" s="262" t="e">
        <f>+($I$22-F26)/C26+A26</f>
        <v>#VALUE!</v>
      </c>
    </row>
    <row r="27" spans="1:19" hidden="1" x14ac:dyDescent="0.25"/>
    <row r="28" spans="1:19" hidden="1" x14ac:dyDescent="0.25"/>
    <row r="29" spans="1:19" hidden="1" x14ac:dyDescent="0.25">
      <c r="A29" t="s">
        <v>154</v>
      </c>
    </row>
    <row r="30" spans="1:19" s="154" customFormat="1" hidden="1" x14ac:dyDescent="0.25">
      <c r="A30" s="187" t="s">
        <v>103</v>
      </c>
      <c r="B30" s="187" t="s">
        <v>89</v>
      </c>
      <c r="C30" s="187" t="s">
        <v>72</v>
      </c>
      <c r="D30" s="187" t="s">
        <v>104</v>
      </c>
      <c r="E30" s="187" t="s">
        <v>74</v>
      </c>
      <c r="F30" s="187" t="s">
        <v>75</v>
      </c>
      <c r="G30" s="187" t="s">
        <v>76</v>
      </c>
      <c r="H30" s="188" t="s">
        <v>105</v>
      </c>
      <c r="K30" s="189"/>
      <c r="O30" s="151"/>
      <c r="P30" s="151"/>
      <c r="Q30" s="190"/>
      <c r="R30" s="190"/>
      <c r="S30" s="151"/>
    </row>
    <row r="31" spans="1:19" s="154" customFormat="1" hidden="1" x14ac:dyDescent="0.25">
      <c r="A31" s="191" t="e">
        <f>IF(D32&gt;H37,0,VLOOKUP(C31,H$12:K$20,4,FALSE))</f>
        <v>#VALUE!</v>
      </c>
      <c r="B31" s="192" t="e">
        <f>IF(D32&gt;H37,0,VLOOKUP(C31,G34:K37,5,FALSE))</f>
        <v>#VALUE!</v>
      </c>
      <c r="C31" s="193">
        <v>0</v>
      </c>
      <c r="D31" s="194" t="e">
        <f>+'Impuesto de Renta'!I20</f>
        <v>#VALUE!</v>
      </c>
      <c r="F31" s="189"/>
      <c r="G31" s="195"/>
      <c r="K31" s="189"/>
      <c r="O31" s="151"/>
      <c r="P31" s="151"/>
      <c r="Q31" s="190"/>
      <c r="R31" s="190"/>
      <c r="S31" s="151"/>
    </row>
    <row r="32" spans="1:19" s="154" customFormat="1" hidden="1" x14ac:dyDescent="0.25">
      <c r="A32" s="194" t="e">
        <f>IF(D32&gt;H37,K37,0)</f>
        <v>#VALUE!</v>
      </c>
      <c r="B32" s="194" t="e">
        <f>IF(D32&gt;H37,K37,0)</f>
        <v>#VALUE!</v>
      </c>
      <c r="D32" s="192" t="e">
        <f>+D31/'Cálculo % Fijo de Ret.Fte.'!G16</f>
        <v>#VALUE!</v>
      </c>
      <c r="E32" s="189"/>
      <c r="F32" s="189"/>
      <c r="G32" s="195"/>
      <c r="H32" s="196" t="s">
        <v>87</v>
      </c>
      <c r="I32" s="197"/>
      <c r="J32" s="1054" t="s">
        <v>94</v>
      </c>
      <c r="K32" s="1056" t="s">
        <v>89</v>
      </c>
      <c r="O32" s="151"/>
      <c r="P32" s="151"/>
      <c r="Q32" s="190"/>
      <c r="R32" s="190"/>
      <c r="S32" s="151"/>
    </row>
    <row r="33" spans="1:19" s="154" customFormat="1" hidden="1" x14ac:dyDescent="0.25">
      <c r="D33" s="320"/>
      <c r="E33" s="189"/>
      <c r="F33" s="189"/>
      <c r="G33" s="195"/>
      <c r="H33" s="198" t="s">
        <v>106</v>
      </c>
      <c r="I33" s="198" t="s">
        <v>90</v>
      </c>
      <c r="J33" s="1055"/>
      <c r="K33" s="1057"/>
      <c r="O33" s="151"/>
      <c r="P33" s="151"/>
      <c r="Q33" s="190"/>
      <c r="R33" s="190"/>
      <c r="S33" s="151"/>
    </row>
    <row r="34" spans="1:19" s="154" customFormat="1" hidden="1" x14ac:dyDescent="0.25">
      <c r="E34" s="189" t="e">
        <f>IF($D$32&gt;=H34,$D$32,0)</f>
        <v>#VALUE!</v>
      </c>
      <c r="F34" s="189" t="e">
        <f>IF($D$32&lt;=I34,$D$32,0)</f>
        <v>#VALUE!</v>
      </c>
      <c r="G34" s="195" t="e">
        <f>+E34-F34</f>
        <v>#VALUE!</v>
      </c>
      <c r="H34" s="199">
        <v>0</v>
      </c>
      <c r="I34" s="199">
        <v>1090</v>
      </c>
      <c r="J34" s="200">
        <v>0</v>
      </c>
      <c r="K34" s="199">
        <v>0</v>
      </c>
      <c r="O34" s="151"/>
      <c r="P34" s="151"/>
      <c r="Q34" s="190"/>
      <c r="R34" s="190"/>
      <c r="S34" s="151"/>
    </row>
    <row r="35" spans="1:19" s="154" customFormat="1" hidden="1" x14ac:dyDescent="0.25">
      <c r="B35" s="189"/>
      <c r="E35" s="189" t="e">
        <f>IF($D$32&gt;=H35,$D$32,0)</f>
        <v>#VALUE!</v>
      </c>
      <c r="F35" s="189" t="e">
        <f>IF($D$32&lt;=I35,$D$32,0)</f>
        <v>#VALUE!</v>
      </c>
      <c r="G35" s="195" t="e">
        <f>+E35-F35</f>
        <v>#VALUE!</v>
      </c>
      <c r="H35" s="199">
        <v>1090</v>
      </c>
      <c r="I35" s="199">
        <v>1700</v>
      </c>
      <c r="J35" s="200">
        <v>0.19</v>
      </c>
      <c r="K35" s="199" t="e">
        <f>+($D$32-H35)*J35</f>
        <v>#VALUE!</v>
      </c>
      <c r="O35" s="151"/>
      <c r="P35" s="151"/>
      <c r="Q35" s="190"/>
      <c r="R35" s="190"/>
      <c r="S35" s="151"/>
    </row>
    <row r="36" spans="1:19" s="154" customFormat="1" hidden="1" x14ac:dyDescent="0.25">
      <c r="B36" s="189"/>
      <c r="E36" s="189" t="e">
        <f>IF($D$32&gt;=H36,$D$32,0)</f>
        <v>#VALUE!</v>
      </c>
      <c r="F36" s="189" t="e">
        <f>IF($D$32&lt;=I36,$D$32,0)</f>
        <v>#VALUE!</v>
      </c>
      <c r="G36" s="195" t="e">
        <f>+E36-F36</f>
        <v>#VALUE!</v>
      </c>
      <c r="H36" s="199">
        <v>1700</v>
      </c>
      <c r="I36" s="199">
        <v>4100</v>
      </c>
      <c r="J36" s="200">
        <v>0.28000000000000003</v>
      </c>
      <c r="K36" s="199" t="e">
        <f>+($D$32-H36)*J36+116</f>
        <v>#VALUE!</v>
      </c>
      <c r="O36" s="151"/>
      <c r="P36" s="151"/>
      <c r="Q36" s="190"/>
      <c r="R36" s="190"/>
      <c r="S36" s="151"/>
    </row>
    <row r="37" spans="1:19" s="154" customFormat="1" hidden="1" x14ac:dyDescent="0.25">
      <c r="B37" s="201"/>
      <c r="E37" s="189" t="e">
        <f>IF($D$32&gt;=H37,$D$32,0)</f>
        <v>#VALUE!</v>
      </c>
      <c r="F37" s="189" t="e">
        <f>IF($D$32&lt;=I37,$D$32,0)</f>
        <v>#VALUE!</v>
      </c>
      <c r="G37" s="195" t="e">
        <f>+E37-F37</f>
        <v>#VALUE!</v>
      </c>
      <c r="H37" s="199">
        <v>4100</v>
      </c>
      <c r="I37" s="199" t="s">
        <v>68</v>
      </c>
      <c r="J37" s="200">
        <v>0.33</v>
      </c>
      <c r="K37" s="199" t="e">
        <f>+($D$32-H37)*J37+788</f>
        <v>#VALUE!</v>
      </c>
      <c r="O37" s="151"/>
      <c r="P37" s="151"/>
      <c r="Q37" s="190"/>
      <c r="R37" s="190"/>
      <c r="S37" s="151"/>
    </row>
    <row r="38" spans="1:19" hidden="1" x14ac:dyDescent="0.25"/>
    <row r="39" spans="1:19" hidden="1" x14ac:dyDescent="0.25">
      <c r="A39" t="s">
        <v>159</v>
      </c>
    </row>
    <row r="40" spans="1:19" s="154" customFormat="1" hidden="1" x14ac:dyDescent="0.25">
      <c r="A40" s="187" t="s">
        <v>103</v>
      </c>
      <c r="B40" s="187" t="s">
        <v>89</v>
      </c>
      <c r="C40" s="187" t="s">
        <v>72</v>
      </c>
      <c r="D40" s="187" t="s">
        <v>104</v>
      </c>
      <c r="E40" s="187" t="s">
        <v>74</v>
      </c>
      <c r="F40" s="187" t="s">
        <v>75</v>
      </c>
      <c r="G40" s="187" t="s">
        <v>76</v>
      </c>
      <c r="H40" s="188" t="s">
        <v>105</v>
      </c>
      <c r="K40" s="189"/>
      <c r="O40" s="151"/>
      <c r="P40" s="151"/>
      <c r="Q40" s="190"/>
      <c r="R40" s="190"/>
      <c r="S40" s="151"/>
    </row>
    <row r="41" spans="1:19" s="154" customFormat="1" hidden="1" x14ac:dyDescent="0.25">
      <c r="A41" s="191" t="e">
        <f>IF(D42&gt;H47,0,VLOOKUP(C41,H$12:K$20,4,FALSE))</f>
        <v>#VALUE!</v>
      </c>
      <c r="B41" s="192" t="e">
        <f>IF(D42&gt;H47,0,VLOOKUP(C41,G44:K47,5,FALSE))</f>
        <v>#VALUE!</v>
      </c>
      <c r="C41" s="193">
        <v>0</v>
      </c>
      <c r="D41" s="194" t="e">
        <f>+'Impuesto de Renta'!H26</f>
        <v>#VALUE!</v>
      </c>
      <c r="F41" s="189"/>
      <c r="G41" s="195"/>
      <c r="K41" s="189"/>
      <c r="O41" s="151"/>
      <c r="P41" s="151"/>
      <c r="Q41" s="190"/>
      <c r="R41" s="190"/>
      <c r="S41" s="151"/>
    </row>
    <row r="42" spans="1:19" s="154" customFormat="1" hidden="1" x14ac:dyDescent="0.25">
      <c r="A42" s="194" t="e">
        <f>IF(D42&gt;H47,K47,0)</f>
        <v>#VALUE!</v>
      </c>
      <c r="B42" s="192" t="e">
        <f>IF(D42&gt;H47,K47,0)</f>
        <v>#VALUE!</v>
      </c>
      <c r="D42" s="192" t="e">
        <f>+D41/'Cálculo % Fijo de Ret.Fte.'!G16</f>
        <v>#VALUE!</v>
      </c>
      <c r="E42" s="189"/>
      <c r="F42" s="189"/>
      <c r="G42" s="195"/>
      <c r="H42" s="196" t="s">
        <v>87</v>
      </c>
      <c r="I42" s="197"/>
      <c r="J42" s="1054" t="s">
        <v>94</v>
      </c>
      <c r="K42" s="1056" t="s">
        <v>89</v>
      </c>
      <c r="O42" s="151"/>
      <c r="P42" s="151"/>
      <c r="Q42" s="190"/>
      <c r="R42" s="190"/>
      <c r="S42" s="151"/>
    </row>
    <row r="43" spans="1:19" s="154" customFormat="1" hidden="1" x14ac:dyDescent="0.25">
      <c r="D43" s="320"/>
      <c r="E43" s="189"/>
      <c r="F43" s="189"/>
      <c r="G43" s="195"/>
      <c r="H43" s="198" t="s">
        <v>106</v>
      </c>
      <c r="I43" s="198" t="s">
        <v>90</v>
      </c>
      <c r="J43" s="1055"/>
      <c r="K43" s="1057"/>
      <c r="O43" s="151"/>
      <c r="P43" s="151"/>
      <c r="Q43" s="190"/>
      <c r="R43" s="190"/>
      <c r="S43" s="151"/>
    </row>
    <row r="44" spans="1:19" s="154" customFormat="1" hidden="1" x14ac:dyDescent="0.25">
      <c r="E44" s="189" t="e">
        <f>IF($D$42&gt;=H44,$D$42,0)</f>
        <v>#VALUE!</v>
      </c>
      <c r="F44" s="189" t="e">
        <f>IF($D$42&lt;=I44,$D$42,0)</f>
        <v>#VALUE!</v>
      </c>
      <c r="G44" s="195" t="e">
        <f>+E44-F44</f>
        <v>#VALUE!</v>
      </c>
      <c r="H44" s="199">
        <v>0</v>
      </c>
      <c r="I44" s="199">
        <v>1090</v>
      </c>
      <c r="J44" s="200">
        <v>0</v>
      </c>
      <c r="K44" s="199">
        <v>0</v>
      </c>
      <c r="O44" s="151"/>
      <c r="P44" s="151"/>
      <c r="Q44" s="190"/>
      <c r="R44" s="190"/>
      <c r="S44" s="151"/>
    </row>
    <row r="45" spans="1:19" s="154" customFormat="1" hidden="1" x14ac:dyDescent="0.25">
      <c r="B45" s="189"/>
      <c r="E45" s="189" t="e">
        <f>IF($D$42&gt;=H45,$D$42,0)</f>
        <v>#VALUE!</v>
      </c>
      <c r="F45" s="189" t="e">
        <f>IF($D$42&lt;=I45,$D$42,0)</f>
        <v>#VALUE!</v>
      </c>
      <c r="G45" s="195" t="e">
        <f>+E45-F45</f>
        <v>#VALUE!</v>
      </c>
      <c r="H45" s="199">
        <v>1090</v>
      </c>
      <c r="I45" s="199">
        <v>1700</v>
      </c>
      <c r="J45" s="200">
        <v>0.19</v>
      </c>
      <c r="K45" s="199" t="e">
        <f>+($D$42-H45)*J45</f>
        <v>#VALUE!</v>
      </c>
      <c r="O45" s="151"/>
      <c r="P45" s="151"/>
      <c r="Q45" s="190"/>
      <c r="R45" s="190"/>
      <c r="S45" s="151"/>
    </row>
    <row r="46" spans="1:19" s="154" customFormat="1" hidden="1" x14ac:dyDescent="0.25">
      <c r="B46" s="189"/>
      <c r="E46" s="189" t="e">
        <f>IF($D$42&gt;=H46,$D$42,0)</f>
        <v>#VALUE!</v>
      </c>
      <c r="F46" s="189" t="e">
        <f>IF($D$42&lt;=I46,$D$42,0)</f>
        <v>#VALUE!</v>
      </c>
      <c r="G46" s="195" t="e">
        <f>+E46-F46</f>
        <v>#VALUE!</v>
      </c>
      <c r="H46" s="199">
        <v>1700</v>
      </c>
      <c r="I46" s="199">
        <v>4100</v>
      </c>
      <c r="J46" s="200">
        <v>0.28000000000000003</v>
      </c>
      <c r="K46" s="199" t="e">
        <f>+($D$42-H46)*J46+116</f>
        <v>#VALUE!</v>
      </c>
      <c r="O46" s="151"/>
      <c r="P46" s="151"/>
      <c r="Q46" s="190"/>
      <c r="R46" s="190"/>
      <c r="S46" s="151"/>
    </row>
    <row r="47" spans="1:19" s="154" customFormat="1" hidden="1" x14ac:dyDescent="0.25">
      <c r="B47" s="201"/>
      <c r="E47" s="189" t="e">
        <f>IF($D$42&gt;=H47,$D$42,0)</f>
        <v>#VALUE!</v>
      </c>
      <c r="F47" s="189" t="e">
        <f>IF($D$42&lt;=I47,$D$42,0)</f>
        <v>#VALUE!</v>
      </c>
      <c r="G47" s="195" t="e">
        <f>+E47-F47</f>
        <v>#VALUE!</v>
      </c>
      <c r="H47" s="199">
        <v>4100</v>
      </c>
      <c r="I47" s="199" t="s">
        <v>68</v>
      </c>
      <c r="J47" s="200">
        <v>0.33</v>
      </c>
      <c r="K47" s="199" t="e">
        <f>+($D$42-H47)*J47+788</f>
        <v>#VALUE!</v>
      </c>
      <c r="O47" s="151"/>
      <c r="P47" s="151"/>
      <c r="Q47" s="190"/>
      <c r="R47" s="190"/>
      <c r="S47" s="151"/>
    </row>
    <row r="48" spans="1: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sheetData>
  <sheetProtection password="941B" sheet="1" objects="1" scenarios="1"/>
  <mergeCells count="8">
    <mergeCell ref="J42:J43"/>
    <mergeCell ref="K42:K43"/>
    <mergeCell ref="J3:J4"/>
    <mergeCell ref="K3:K4"/>
    <mergeCell ref="J14:J15"/>
    <mergeCell ref="K14:K15"/>
    <mergeCell ref="J32:J33"/>
    <mergeCell ref="K32:K33"/>
  </mergeCell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K89"/>
  <sheetViews>
    <sheetView topLeftCell="A90" workbookViewId="0">
      <selection activeCell="A89" sqref="A1:IV89"/>
    </sheetView>
  </sheetViews>
  <sheetFormatPr baseColWidth="10" defaultColWidth="18" defaultRowHeight="12" x14ac:dyDescent="0.2"/>
  <cols>
    <col min="1" max="2" width="9.7109375" style="142" bestFit="1" customWidth="1"/>
    <col min="3" max="3" width="15.28515625" style="142" customWidth="1"/>
    <col min="4" max="4" width="13.28515625" style="142" customWidth="1"/>
    <col min="5" max="5" width="9.28515625" style="142" bestFit="1" customWidth="1"/>
    <col min="6" max="6" width="1.5703125" style="142" customWidth="1"/>
    <col min="7" max="11" width="18" style="142"/>
    <col min="12" max="12" width="6.7109375" style="142" customWidth="1"/>
    <col min="13" max="16384" width="18" style="142"/>
  </cols>
  <sheetData>
    <row r="1" spans="1:11" ht="26.25" hidden="1" thickBot="1" x14ac:dyDescent="0.25">
      <c r="A1" s="138" t="s">
        <v>70</v>
      </c>
      <c r="B1" s="138"/>
      <c r="C1" s="139"/>
      <c r="D1" s="140"/>
      <c r="E1" s="141"/>
      <c r="G1" s="143" t="s">
        <v>71</v>
      </c>
      <c r="H1" s="143" t="s">
        <v>72</v>
      </c>
      <c r="I1" s="143" t="s">
        <v>73</v>
      </c>
      <c r="J1" s="143" t="s">
        <v>74</v>
      </c>
      <c r="K1" s="143" t="s">
        <v>75</v>
      </c>
    </row>
    <row r="2" spans="1:11" ht="36.75" hidden="1" thickBot="1" x14ac:dyDescent="0.3">
      <c r="A2" s="144" t="s">
        <v>130</v>
      </c>
      <c r="B2" s="144" t="s">
        <v>129</v>
      </c>
      <c r="C2" s="144" t="s">
        <v>77</v>
      </c>
      <c r="D2" s="144" t="s">
        <v>78</v>
      </c>
      <c r="E2" s="144" t="s">
        <v>79</v>
      </c>
      <c r="G2" s="145" t="e">
        <f>IF(I3&gt;C87,0,VLOOKUP(H2,B3:E87,4,FALSE))</f>
        <v>#VALUE!</v>
      </c>
      <c r="H2" s="146">
        <v>0</v>
      </c>
      <c r="I2" s="147" t="e">
        <f>+'Impuesto de Renta'!D26</f>
        <v>#VALUE!</v>
      </c>
    </row>
    <row r="3" spans="1:11" ht="15.75" hidden="1" thickBot="1" x14ac:dyDescent="0.3">
      <c r="A3" s="148" t="e">
        <f>+J3-K3</f>
        <v>#VALUE!</v>
      </c>
      <c r="B3" s="148" t="e">
        <f>+J3-K3</f>
        <v>#VALUE!</v>
      </c>
      <c r="C3" s="148">
        <v>0</v>
      </c>
      <c r="D3" s="148">
        <f>+C4-0.00000000000001</f>
        <v>1548</v>
      </c>
      <c r="E3" s="149">
        <v>0</v>
      </c>
      <c r="G3" s="145" t="e">
        <f>IF(I3&gt;C87,E87,0)</f>
        <v>#VALUE!</v>
      </c>
      <c r="H3" s="150"/>
      <c r="I3" s="145" t="e">
        <f>+I2/'Cálculo % Fijo de Ret.Fte.'!G16</f>
        <v>#VALUE!</v>
      </c>
      <c r="J3" s="151" t="e">
        <f>IF($I$3&gt;=C3,$I$3,0)</f>
        <v>#VALUE!</v>
      </c>
      <c r="K3" s="151" t="e">
        <f t="shared" ref="K3:K66" si="0">IF($I$3&lt;=D3,$I$3,0)</f>
        <v>#VALUE!</v>
      </c>
    </row>
    <row r="4" spans="1:11" ht="15.75" hidden="1" thickBot="1" x14ac:dyDescent="0.3">
      <c r="A4" s="148" t="e">
        <f t="shared" ref="A4:A67" si="1">+J4-K4</f>
        <v>#VALUE!</v>
      </c>
      <c r="B4" s="148" t="e">
        <f t="shared" ref="B4:B67" si="2">+J4-K4</f>
        <v>#VALUE!</v>
      </c>
      <c r="C4" s="152">
        <v>1548</v>
      </c>
      <c r="D4" s="148">
        <f t="shared" ref="D4:D67" si="3">+C5-0.00000000000001</f>
        <v>1588</v>
      </c>
      <c r="E4" s="149">
        <v>1.05</v>
      </c>
      <c r="G4" s="153"/>
      <c r="H4" s="153"/>
      <c r="I4" s="153"/>
      <c r="J4" s="151" t="e">
        <f t="shared" ref="J4:J66" si="4">IF($I$3&gt;=C4,$I$3,0)</f>
        <v>#VALUE!</v>
      </c>
      <c r="K4" s="151" t="e">
        <f t="shared" si="0"/>
        <v>#VALUE!</v>
      </c>
    </row>
    <row r="5" spans="1:11" ht="15.75" hidden="1" thickBot="1" x14ac:dyDescent="0.3">
      <c r="A5" s="148" t="e">
        <f t="shared" si="1"/>
        <v>#VALUE!</v>
      </c>
      <c r="B5" s="148" t="e">
        <f t="shared" si="2"/>
        <v>#VALUE!</v>
      </c>
      <c r="C5" s="152">
        <v>1588</v>
      </c>
      <c r="D5" s="148">
        <f t="shared" si="3"/>
        <v>1629</v>
      </c>
      <c r="E5" s="149">
        <v>1.08</v>
      </c>
      <c r="G5" s="154"/>
      <c r="H5" s="154"/>
      <c r="I5" s="154"/>
      <c r="J5" s="151" t="e">
        <f t="shared" si="4"/>
        <v>#VALUE!</v>
      </c>
      <c r="K5" s="151" t="e">
        <f t="shared" si="0"/>
        <v>#VALUE!</v>
      </c>
    </row>
    <row r="6" spans="1:11" ht="15.75" hidden="1" thickBot="1" x14ac:dyDescent="0.3">
      <c r="A6" s="148" t="e">
        <f t="shared" si="1"/>
        <v>#VALUE!</v>
      </c>
      <c r="B6" s="148" t="e">
        <f t="shared" si="2"/>
        <v>#VALUE!</v>
      </c>
      <c r="C6" s="152">
        <v>1629</v>
      </c>
      <c r="D6" s="148">
        <f t="shared" si="3"/>
        <v>1670</v>
      </c>
      <c r="E6" s="155">
        <v>1.1100000000000001</v>
      </c>
      <c r="G6" s="154"/>
      <c r="H6" s="154"/>
      <c r="I6" s="154"/>
      <c r="J6" s="151" t="e">
        <f t="shared" si="4"/>
        <v>#VALUE!</v>
      </c>
      <c r="K6" s="151" t="e">
        <f t="shared" si="0"/>
        <v>#VALUE!</v>
      </c>
    </row>
    <row r="7" spans="1:11" ht="15.75" hidden="1" thickBot="1" x14ac:dyDescent="0.3">
      <c r="A7" s="148" t="e">
        <f t="shared" si="1"/>
        <v>#VALUE!</v>
      </c>
      <c r="B7" s="148" t="e">
        <f t="shared" si="2"/>
        <v>#VALUE!</v>
      </c>
      <c r="C7" s="152">
        <v>1670</v>
      </c>
      <c r="D7" s="148">
        <f t="shared" si="3"/>
        <v>1710</v>
      </c>
      <c r="E7" s="149">
        <v>1.1399999999999999</v>
      </c>
      <c r="G7" s="154"/>
      <c r="H7" s="154"/>
      <c r="I7" s="154"/>
      <c r="J7" s="151" t="e">
        <f t="shared" si="4"/>
        <v>#VALUE!</v>
      </c>
      <c r="K7" s="151" t="e">
        <f t="shared" si="0"/>
        <v>#VALUE!</v>
      </c>
    </row>
    <row r="8" spans="1:11" ht="15.75" hidden="1" thickBot="1" x14ac:dyDescent="0.3">
      <c r="A8" s="148" t="e">
        <f t="shared" si="1"/>
        <v>#VALUE!</v>
      </c>
      <c r="B8" s="148" t="e">
        <f t="shared" si="2"/>
        <v>#VALUE!</v>
      </c>
      <c r="C8" s="152">
        <v>1710</v>
      </c>
      <c r="D8" s="148">
        <f t="shared" si="3"/>
        <v>1751</v>
      </c>
      <c r="E8" s="149">
        <v>1.1599999999999999</v>
      </c>
      <c r="G8" s="154"/>
      <c r="H8" s="154"/>
      <c r="I8" s="154"/>
      <c r="J8" s="151" t="e">
        <f t="shared" si="4"/>
        <v>#VALUE!</v>
      </c>
      <c r="K8" s="151" t="e">
        <f t="shared" si="0"/>
        <v>#VALUE!</v>
      </c>
    </row>
    <row r="9" spans="1:11" ht="13.5" hidden="1" thickBot="1" x14ac:dyDescent="0.25">
      <c r="A9" s="148" t="e">
        <f t="shared" si="1"/>
        <v>#VALUE!</v>
      </c>
      <c r="B9" s="148" t="e">
        <f t="shared" si="2"/>
        <v>#VALUE!</v>
      </c>
      <c r="C9" s="152">
        <v>1751</v>
      </c>
      <c r="D9" s="148">
        <f t="shared" si="3"/>
        <v>1792</v>
      </c>
      <c r="E9" s="149">
        <v>2.38</v>
      </c>
      <c r="J9" s="151" t="e">
        <f t="shared" si="4"/>
        <v>#VALUE!</v>
      </c>
      <c r="K9" s="151" t="e">
        <f t="shared" si="0"/>
        <v>#VALUE!</v>
      </c>
    </row>
    <row r="10" spans="1:11" ht="13.5" hidden="1" thickBot="1" x14ac:dyDescent="0.25">
      <c r="A10" s="148" t="e">
        <f t="shared" si="1"/>
        <v>#VALUE!</v>
      </c>
      <c r="B10" s="148" t="e">
        <f t="shared" si="2"/>
        <v>#VALUE!</v>
      </c>
      <c r="C10" s="152">
        <v>1792</v>
      </c>
      <c r="D10" s="148">
        <f t="shared" si="3"/>
        <v>1833</v>
      </c>
      <c r="E10" s="149">
        <v>2.4300000000000002</v>
      </c>
      <c r="J10" s="151" t="e">
        <f t="shared" si="4"/>
        <v>#VALUE!</v>
      </c>
      <c r="K10" s="151" t="e">
        <f t="shared" si="0"/>
        <v>#VALUE!</v>
      </c>
    </row>
    <row r="11" spans="1:11" ht="13.5" hidden="1" thickBot="1" x14ac:dyDescent="0.25">
      <c r="A11" s="148" t="e">
        <f t="shared" si="1"/>
        <v>#VALUE!</v>
      </c>
      <c r="B11" s="148" t="e">
        <f t="shared" si="2"/>
        <v>#VALUE!</v>
      </c>
      <c r="C11" s="152">
        <v>1833</v>
      </c>
      <c r="D11" s="148">
        <f t="shared" si="3"/>
        <v>1873</v>
      </c>
      <c r="E11" s="149">
        <v>2.4900000000000002</v>
      </c>
      <c r="J11" s="151" t="e">
        <f t="shared" si="4"/>
        <v>#VALUE!</v>
      </c>
      <c r="K11" s="151" t="e">
        <f t="shared" si="0"/>
        <v>#VALUE!</v>
      </c>
    </row>
    <row r="12" spans="1:11" ht="13.5" hidden="1" thickBot="1" x14ac:dyDescent="0.25">
      <c r="A12" s="148" t="e">
        <f t="shared" si="1"/>
        <v>#VALUE!</v>
      </c>
      <c r="B12" s="148" t="e">
        <f t="shared" si="2"/>
        <v>#VALUE!</v>
      </c>
      <c r="C12" s="152">
        <v>1873</v>
      </c>
      <c r="D12" s="148">
        <f t="shared" si="3"/>
        <v>1914</v>
      </c>
      <c r="E12" s="149">
        <v>4.76</v>
      </c>
      <c r="J12" s="151" t="e">
        <f t="shared" si="4"/>
        <v>#VALUE!</v>
      </c>
      <c r="K12" s="151" t="e">
        <f t="shared" si="0"/>
        <v>#VALUE!</v>
      </c>
    </row>
    <row r="13" spans="1:11" ht="13.5" hidden="1" thickBot="1" x14ac:dyDescent="0.25">
      <c r="A13" s="148" t="e">
        <f t="shared" si="1"/>
        <v>#VALUE!</v>
      </c>
      <c r="B13" s="148" t="e">
        <f t="shared" si="2"/>
        <v>#VALUE!</v>
      </c>
      <c r="C13" s="152">
        <v>1914</v>
      </c>
      <c r="D13" s="148">
        <f t="shared" si="3"/>
        <v>1955</v>
      </c>
      <c r="E13" s="149">
        <v>4.8600000000000003</v>
      </c>
      <c r="J13" s="151" t="e">
        <f t="shared" si="4"/>
        <v>#VALUE!</v>
      </c>
      <c r="K13" s="151" t="e">
        <f t="shared" si="0"/>
        <v>#VALUE!</v>
      </c>
    </row>
    <row r="14" spans="1:11" ht="13.5" hidden="1" thickBot="1" x14ac:dyDescent="0.25">
      <c r="A14" s="148" t="e">
        <f t="shared" si="1"/>
        <v>#VALUE!</v>
      </c>
      <c r="B14" s="148" t="e">
        <f t="shared" si="2"/>
        <v>#VALUE!</v>
      </c>
      <c r="C14" s="152">
        <v>1955</v>
      </c>
      <c r="D14" s="148">
        <f t="shared" si="3"/>
        <v>1996</v>
      </c>
      <c r="E14" s="149">
        <v>4.96</v>
      </c>
      <c r="J14" s="151" t="e">
        <f t="shared" si="4"/>
        <v>#VALUE!</v>
      </c>
      <c r="K14" s="151" t="e">
        <f t="shared" si="0"/>
        <v>#VALUE!</v>
      </c>
    </row>
    <row r="15" spans="1:11" ht="13.5" hidden="1" thickBot="1" x14ac:dyDescent="0.25">
      <c r="A15" s="148" t="e">
        <f t="shared" si="1"/>
        <v>#VALUE!</v>
      </c>
      <c r="B15" s="148" t="e">
        <f t="shared" si="2"/>
        <v>#VALUE!</v>
      </c>
      <c r="C15" s="152">
        <v>1996</v>
      </c>
      <c r="D15" s="148">
        <f t="shared" si="3"/>
        <v>2036</v>
      </c>
      <c r="E15" s="149">
        <v>8.43</v>
      </c>
      <c r="J15" s="151" t="e">
        <f t="shared" si="4"/>
        <v>#VALUE!</v>
      </c>
      <c r="K15" s="151" t="e">
        <f t="shared" si="0"/>
        <v>#VALUE!</v>
      </c>
    </row>
    <row r="16" spans="1:11" ht="13.5" hidden="1" thickBot="1" x14ac:dyDescent="0.25">
      <c r="A16" s="148" t="e">
        <f t="shared" si="1"/>
        <v>#VALUE!</v>
      </c>
      <c r="B16" s="148" t="e">
        <f t="shared" si="2"/>
        <v>#VALUE!</v>
      </c>
      <c r="C16" s="152">
        <v>2036</v>
      </c>
      <c r="D16" s="148">
        <f t="shared" si="3"/>
        <v>2118</v>
      </c>
      <c r="E16" s="149">
        <v>8.7100000000000009</v>
      </c>
      <c r="J16" s="151" t="e">
        <f t="shared" si="4"/>
        <v>#VALUE!</v>
      </c>
      <c r="K16" s="151" t="e">
        <f t="shared" si="0"/>
        <v>#VALUE!</v>
      </c>
    </row>
    <row r="17" spans="1:11" ht="13.5" hidden="1" thickBot="1" x14ac:dyDescent="0.25">
      <c r="A17" s="148" t="e">
        <f t="shared" si="1"/>
        <v>#VALUE!</v>
      </c>
      <c r="B17" s="148" t="e">
        <f t="shared" si="2"/>
        <v>#VALUE!</v>
      </c>
      <c r="C17" s="152">
        <v>2118</v>
      </c>
      <c r="D17" s="148">
        <f t="shared" si="3"/>
        <v>2199</v>
      </c>
      <c r="E17" s="149">
        <v>13.74</v>
      </c>
      <c r="J17" s="151" t="e">
        <f t="shared" si="4"/>
        <v>#VALUE!</v>
      </c>
      <c r="K17" s="151" t="e">
        <f t="shared" si="0"/>
        <v>#VALUE!</v>
      </c>
    </row>
    <row r="18" spans="1:11" ht="13.5" hidden="1" thickBot="1" x14ac:dyDescent="0.25">
      <c r="A18" s="148" t="e">
        <f t="shared" si="1"/>
        <v>#VALUE!</v>
      </c>
      <c r="B18" s="148" t="e">
        <f t="shared" si="2"/>
        <v>#VALUE!</v>
      </c>
      <c r="C18" s="152">
        <v>2199</v>
      </c>
      <c r="D18" s="148">
        <f t="shared" si="3"/>
        <v>2281</v>
      </c>
      <c r="E18" s="149">
        <v>14.26</v>
      </c>
      <c r="J18" s="151" t="e">
        <f t="shared" si="4"/>
        <v>#VALUE!</v>
      </c>
      <c r="K18" s="151" t="e">
        <f t="shared" si="0"/>
        <v>#VALUE!</v>
      </c>
    </row>
    <row r="19" spans="1:11" ht="13.5" hidden="1" thickBot="1" x14ac:dyDescent="0.25">
      <c r="A19" s="148" t="e">
        <f t="shared" si="1"/>
        <v>#VALUE!</v>
      </c>
      <c r="B19" s="148" t="e">
        <f t="shared" si="2"/>
        <v>#VALUE!</v>
      </c>
      <c r="C19" s="152">
        <v>2281</v>
      </c>
      <c r="D19" s="148">
        <f t="shared" si="3"/>
        <v>2362</v>
      </c>
      <c r="E19" s="149">
        <v>19.809999999999999</v>
      </c>
      <c r="J19" s="151" t="e">
        <f t="shared" si="4"/>
        <v>#VALUE!</v>
      </c>
      <c r="K19" s="151" t="e">
        <f t="shared" si="0"/>
        <v>#VALUE!</v>
      </c>
    </row>
    <row r="20" spans="1:11" ht="13.5" hidden="1" thickBot="1" x14ac:dyDescent="0.25">
      <c r="A20" s="148" t="e">
        <f t="shared" si="1"/>
        <v>#VALUE!</v>
      </c>
      <c r="B20" s="148" t="e">
        <f t="shared" si="2"/>
        <v>#VALUE!</v>
      </c>
      <c r="C20" s="152">
        <v>2362</v>
      </c>
      <c r="D20" s="148">
        <f t="shared" si="3"/>
        <v>2443</v>
      </c>
      <c r="E20" s="149">
        <v>25.7</v>
      </c>
      <c r="J20" s="151" t="e">
        <f t="shared" si="4"/>
        <v>#VALUE!</v>
      </c>
      <c r="K20" s="151" t="e">
        <f t="shared" si="0"/>
        <v>#VALUE!</v>
      </c>
    </row>
    <row r="21" spans="1:11" ht="13.5" hidden="1" thickBot="1" x14ac:dyDescent="0.25">
      <c r="A21" s="148" t="e">
        <f t="shared" si="1"/>
        <v>#VALUE!</v>
      </c>
      <c r="B21" s="148" t="e">
        <f t="shared" si="2"/>
        <v>#VALUE!</v>
      </c>
      <c r="C21" s="152">
        <v>2443</v>
      </c>
      <c r="D21" s="148">
        <f t="shared" si="3"/>
        <v>2525</v>
      </c>
      <c r="E21" s="149">
        <v>26.57</v>
      </c>
      <c r="J21" s="151" t="e">
        <f t="shared" si="4"/>
        <v>#VALUE!</v>
      </c>
      <c r="K21" s="151" t="e">
        <f t="shared" si="0"/>
        <v>#VALUE!</v>
      </c>
    </row>
    <row r="22" spans="1:11" ht="13.5" hidden="1" thickBot="1" x14ac:dyDescent="0.25">
      <c r="A22" s="148" t="e">
        <f t="shared" si="1"/>
        <v>#VALUE!</v>
      </c>
      <c r="B22" s="148" t="e">
        <f t="shared" si="2"/>
        <v>#VALUE!</v>
      </c>
      <c r="C22" s="152">
        <v>2525</v>
      </c>
      <c r="D22" s="148">
        <f t="shared" si="3"/>
        <v>2606</v>
      </c>
      <c r="E22" s="149">
        <v>35.56</v>
      </c>
      <c r="J22" s="151" t="e">
        <f t="shared" si="4"/>
        <v>#VALUE!</v>
      </c>
      <c r="K22" s="151" t="e">
        <f t="shared" si="0"/>
        <v>#VALUE!</v>
      </c>
    </row>
    <row r="23" spans="1:11" ht="13.5" hidden="1" thickBot="1" x14ac:dyDescent="0.25">
      <c r="A23" s="148" t="e">
        <f t="shared" si="1"/>
        <v>#VALUE!</v>
      </c>
      <c r="B23" s="148" t="e">
        <f t="shared" si="2"/>
        <v>#VALUE!</v>
      </c>
      <c r="C23" s="152">
        <v>2606</v>
      </c>
      <c r="D23" s="148">
        <f t="shared" si="3"/>
        <v>2688</v>
      </c>
      <c r="E23" s="149">
        <v>45.05</v>
      </c>
      <c r="J23" s="151" t="e">
        <f t="shared" si="4"/>
        <v>#VALUE!</v>
      </c>
      <c r="K23" s="151" t="e">
        <f t="shared" si="0"/>
        <v>#VALUE!</v>
      </c>
    </row>
    <row r="24" spans="1:11" ht="13.5" hidden="1" thickBot="1" x14ac:dyDescent="0.25">
      <c r="A24" s="148" t="e">
        <f t="shared" si="1"/>
        <v>#VALUE!</v>
      </c>
      <c r="B24" s="148" t="e">
        <f t="shared" si="2"/>
        <v>#VALUE!</v>
      </c>
      <c r="C24" s="152">
        <v>2688</v>
      </c>
      <c r="D24" s="148">
        <f t="shared" si="3"/>
        <v>2769</v>
      </c>
      <c r="E24" s="149">
        <v>46.43</v>
      </c>
      <c r="J24" s="151" t="e">
        <f t="shared" si="4"/>
        <v>#VALUE!</v>
      </c>
      <c r="K24" s="151" t="e">
        <f t="shared" si="0"/>
        <v>#VALUE!</v>
      </c>
    </row>
    <row r="25" spans="1:11" ht="13.5" hidden="1" thickBot="1" x14ac:dyDescent="0.25">
      <c r="A25" s="148" t="e">
        <f t="shared" si="1"/>
        <v>#VALUE!</v>
      </c>
      <c r="B25" s="148" t="e">
        <f t="shared" si="2"/>
        <v>#VALUE!</v>
      </c>
      <c r="C25" s="152">
        <v>2769</v>
      </c>
      <c r="D25" s="148">
        <f t="shared" si="3"/>
        <v>2851</v>
      </c>
      <c r="E25" s="149">
        <v>55.58</v>
      </c>
      <c r="J25" s="151" t="e">
        <f t="shared" si="4"/>
        <v>#VALUE!</v>
      </c>
      <c r="K25" s="151" t="e">
        <f t="shared" si="0"/>
        <v>#VALUE!</v>
      </c>
    </row>
    <row r="26" spans="1:11" ht="13.5" hidden="1" thickBot="1" x14ac:dyDescent="0.25">
      <c r="A26" s="148" t="e">
        <f t="shared" si="1"/>
        <v>#VALUE!</v>
      </c>
      <c r="B26" s="148" t="e">
        <f t="shared" si="2"/>
        <v>#VALUE!</v>
      </c>
      <c r="C26" s="152">
        <v>2851</v>
      </c>
      <c r="D26" s="148">
        <f t="shared" si="3"/>
        <v>2932</v>
      </c>
      <c r="E26" s="149">
        <v>60.7</v>
      </c>
      <c r="J26" s="151" t="e">
        <f t="shared" si="4"/>
        <v>#VALUE!</v>
      </c>
      <c r="K26" s="151" t="e">
        <f t="shared" si="0"/>
        <v>#VALUE!</v>
      </c>
    </row>
    <row r="27" spans="1:11" ht="13.5" hidden="1" thickBot="1" x14ac:dyDescent="0.25">
      <c r="A27" s="148" t="e">
        <f t="shared" si="1"/>
        <v>#VALUE!</v>
      </c>
      <c r="B27" s="148" t="e">
        <f t="shared" si="2"/>
        <v>#VALUE!</v>
      </c>
      <c r="C27" s="152">
        <v>2932</v>
      </c>
      <c r="D27" s="148">
        <f t="shared" si="3"/>
        <v>3014</v>
      </c>
      <c r="E27" s="149">
        <v>66.02</v>
      </c>
      <c r="J27" s="151" t="e">
        <f t="shared" si="4"/>
        <v>#VALUE!</v>
      </c>
      <c r="K27" s="151" t="e">
        <f t="shared" si="0"/>
        <v>#VALUE!</v>
      </c>
    </row>
    <row r="28" spans="1:11" ht="13.5" hidden="1" thickBot="1" x14ac:dyDescent="0.25">
      <c r="A28" s="148" t="e">
        <f t="shared" si="1"/>
        <v>#VALUE!</v>
      </c>
      <c r="B28" s="148" t="e">
        <f t="shared" si="2"/>
        <v>#VALUE!</v>
      </c>
      <c r="C28" s="152">
        <v>3014</v>
      </c>
      <c r="D28" s="148">
        <f t="shared" si="3"/>
        <v>3095</v>
      </c>
      <c r="E28" s="149">
        <v>71.540000000000006</v>
      </c>
      <c r="J28" s="151" t="e">
        <f t="shared" si="4"/>
        <v>#VALUE!</v>
      </c>
      <c r="K28" s="151" t="e">
        <f t="shared" si="0"/>
        <v>#VALUE!</v>
      </c>
    </row>
    <row r="29" spans="1:11" ht="13.5" hidden="1" thickBot="1" x14ac:dyDescent="0.25">
      <c r="A29" s="148" t="e">
        <f t="shared" si="1"/>
        <v>#VALUE!</v>
      </c>
      <c r="B29" s="148" t="e">
        <f t="shared" si="2"/>
        <v>#VALUE!</v>
      </c>
      <c r="C29" s="152">
        <v>3095</v>
      </c>
      <c r="D29" s="148">
        <f t="shared" si="3"/>
        <v>3177</v>
      </c>
      <c r="E29" s="149">
        <v>77.239999999999995</v>
      </c>
      <c r="J29" s="151" t="e">
        <f t="shared" si="4"/>
        <v>#VALUE!</v>
      </c>
      <c r="K29" s="151" t="e">
        <f t="shared" si="0"/>
        <v>#VALUE!</v>
      </c>
    </row>
    <row r="30" spans="1:11" ht="13.5" hidden="1" thickBot="1" x14ac:dyDescent="0.25">
      <c r="A30" s="148" t="e">
        <f t="shared" si="1"/>
        <v>#VALUE!</v>
      </c>
      <c r="B30" s="148" t="e">
        <f t="shared" si="2"/>
        <v>#VALUE!</v>
      </c>
      <c r="C30" s="152">
        <v>3177</v>
      </c>
      <c r="D30" s="148">
        <f t="shared" si="3"/>
        <v>3339</v>
      </c>
      <c r="E30" s="149">
        <v>83.14</v>
      </c>
      <c r="J30" s="151" t="e">
        <f t="shared" si="4"/>
        <v>#VALUE!</v>
      </c>
      <c r="K30" s="151" t="e">
        <f t="shared" si="0"/>
        <v>#VALUE!</v>
      </c>
    </row>
    <row r="31" spans="1:11" ht="13.5" hidden="1" thickBot="1" x14ac:dyDescent="0.25">
      <c r="A31" s="148" t="e">
        <f t="shared" si="1"/>
        <v>#VALUE!</v>
      </c>
      <c r="B31" s="148" t="e">
        <f t="shared" si="2"/>
        <v>#VALUE!</v>
      </c>
      <c r="C31" s="152">
        <v>3339</v>
      </c>
      <c r="D31" s="148">
        <f t="shared" si="3"/>
        <v>3421</v>
      </c>
      <c r="E31" s="149">
        <v>95.51</v>
      </c>
      <c r="J31" s="151" t="e">
        <f t="shared" si="4"/>
        <v>#VALUE!</v>
      </c>
      <c r="K31" s="151" t="e">
        <f t="shared" si="0"/>
        <v>#VALUE!</v>
      </c>
    </row>
    <row r="32" spans="1:11" ht="13.5" hidden="1" thickBot="1" x14ac:dyDescent="0.25">
      <c r="A32" s="148" t="e">
        <f t="shared" si="1"/>
        <v>#VALUE!</v>
      </c>
      <c r="B32" s="148" t="e">
        <f t="shared" si="2"/>
        <v>#VALUE!</v>
      </c>
      <c r="C32" s="152">
        <v>3421</v>
      </c>
      <c r="D32" s="148">
        <f t="shared" si="3"/>
        <v>3502</v>
      </c>
      <c r="E32" s="149">
        <v>101.98</v>
      </c>
      <c r="J32" s="151" t="e">
        <f t="shared" si="4"/>
        <v>#VALUE!</v>
      </c>
      <c r="K32" s="151" t="e">
        <f t="shared" si="0"/>
        <v>#VALUE!</v>
      </c>
    </row>
    <row r="33" spans="1:11" ht="13.5" hidden="1" thickBot="1" x14ac:dyDescent="0.25">
      <c r="A33" s="148" t="e">
        <f t="shared" si="1"/>
        <v>#VALUE!</v>
      </c>
      <c r="B33" s="148" t="e">
        <f t="shared" si="2"/>
        <v>#VALUE!</v>
      </c>
      <c r="C33" s="152">
        <v>3502</v>
      </c>
      <c r="D33" s="148">
        <f t="shared" si="3"/>
        <v>3584</v>
      </c>
      <c r="E33" s="149">
        <v>108.64</v>
      </c>
      <c r="J33" s="151" t="e">
        <f t="shared" si="4"/>
        <v>#VALUE!</v>
      </c>
      <c r="K33" s="151" t="e">
        <f t="shared" si="0"/>
        <v>#VALUE!</v>
      </c>
    </row>
    <row r="34" spans="1:11" ht="13.5" hidden="1" thickBot="1" x14ac:dyDescent="0.25">
      <c r="A34" s="148" t="e">
        <f t="shared" si="1"/>
        <v>#VALUE!</v>
      </c>
      <c r="B34" s="148" t="e">
        <f t="shared" si="2"/>
        <v>#VALUE!</v>
      </c>
      <c r="C34" s="152">
        <v>3584</v>
      </c>
      <c r="D34" s="148">
        <f t="shared" si="3"/>
        <v>3665</v>
      </c>
      <c r="E34" s="149">
        <v>115.49</v>
      </c>
      <c r="J34" s="151" t="e">
        <f t="shared" si="4"/>
        <v>#VALUE!</v>
      </c>
      <c r="K34" s="151" t="e">
        <f t="shared" si="0"/>
        <v>#VALUE!</v>
      </c>
    </row>
    <row r="35" spans="1:11" ht="13.5" hidden="1" thickBot="1" x14ac:dyDescent="0.25">
      <c r="A35" s="148" t="e">
        <f t="shared" si="1"/>
        <v>#VALUE!</v>
      </c>
      <c r="B35" s="148" t="e">
        <f t="shared" si="2"/>
        <v>#VALUE!</v>
      </c>
      <c r="C35" s="152">
        <v>3665</v>
      </c>
      <c r="D35" s="148">
        <f t="shared" si="3"/>
        <v>3747</v>
      </c>
      <c r="E35" s="149">
        <v>122.54</v>
      </c>
      <c r="J35" s="151" t="e">
        <f t="shared" si="4"/>
        <v>#VALUE!</v>
      </c>
      <c r="K35" s="151" t="e">
        <f t="shared" si="0"/>
        <v>#VALUE!</v>
      </c>
    </row>
    <row r="36" spans="1:11" ht="13.5" hidden="1" thickBot="1" x14ac:dyDescent="0.25">
      <c r="A36" s="148" t="e">
        <f t="shared" si="1"/>
        <v>#VALUE!</v>
      </c>
      <c r="B36" s="148" t="e">
        <f t="shared" si="2"/>
        <v>#VALUE!</v>
      </c>
      <c r="C36" s="152">
        <v>3747</v>
      </c>
      <c r="D36" s="148">
        <f t="shared" si="3"/>
        <v>3828</v>
      </c>
      <c r="E36" s="149">
        <v>129.76</v>
      </c>
      <c r="J36" s="151" t="e">
        <f t="shared" si="4"/>
        <v>#VALUE!</v>
      </c>
      <c r="K36" s="151" t="e">
        <f t="shared" si="0"/>
        <v>#VALUE!</v>
      </c>
    </row>
    <row r="37" spans="1:11" ht="13.5" hidden="1" thickBot="1" x14ac:dyDescent="0.25">
      <c r="A37" s="148" t="e">
        <f t="shared" si="1"/>
        <v>#VALUE!</v>
      </c>
      <c r="B37" s="148" t="e">
        <f t="shared" si="2"/>
        <v>#VALUE!</v>
      </c>
      <c r="C37" s="152">
        <v>3828</v>
      </c>
      <c r="D37" s="148">
        <f t="shared" si="3"/>
        <v>3910</v>
      </c>
      <c r="E37" s="149">
        <v>137.18</v>
      </c>
      <c r="J37" s="151" t="e">
        <f t="shared" si="4"/>
        <v>#VALUE!</v>
      </c>
      <c r="K37" s="151" t="e">
        <f t="shared" si="0"/>
        <v>#VALUE!</v>
      </c>
    </row>
    <row r="38" spans="1:11" ht="13.5" hidden="1" thickBot="1" x14ac:dyDescent="0.25">
      <c r="A38" s="148" t="e">
        <f t="shared" si="1"/>
        <v>#VALUE!</v>
      </c>
      <c r="B38" s="148" t="e">
        <f t="shared" si="2"/>
        <v>#VALUE!</v>
      </c>
      <c r="C38" s="152">
        <v>3910</v>
      </c>
      <c r="D38" s="148">
        <f t="shared" si="3"/>
        <v>3991</v>
      </c>
      <c r="E38" s="149">
        <v>144.78</v>
      </c>
      <c r="J38" s="151" t="e">
        <f t="shared" si="4"/>
        <v>#VALUE!</v>
      </c>
      <c r="K38" s="151" t="e">
        <f t="shared" si="0"/>
        <v>#VALUE!</v>
      </c>
    </row>
    <row r="39" spans="1:11" ht="13.5" hidden="1" thickBot="1" x14ac:dyDescent="0.25">
      <c r="A39" s="148" t="e">
        <f t="shared" si="1"/>
        <v>#VALUE!</v>
      </c>
      <c r="B39" s="148" t="e">
        <f t="shared" si="2"/>
        <v>#VALUE!</v>
      </c>
      <c r="C39" s="152">
        <v>3991</v>
      </c>
      <c r="D39" s="148">
        <f t="shared" si="3"/>
        <v>4072</v>
      </c>
      <c r="E39" s="149">
        <v>152.58000000000001</v>
      </c>
      <c r="J39" s="151" t="e">
        <f t="shared" si="4"/>
        <v>#VALUE!</v>
      </c>
      <c r="K39" s="151" t="e">
        <f t="shared" si="0"/>
        <v>#VALUE!</v>
      </c>
    </row>
    <row r="40" spans="1:11" ht="13.5" hidden="1" thickBot="1" x14ac:dyDescent="0.25">
      <c r="A40" s="148" t="e">
        <f t="shared" si="1"/>
        <v>#VALUE!</v>
      </c>
      <c r="B40" s="148" t="e">
        <f t="shared" si="2"/>
        <v>#VALUE!</v>
      </c>
      <c r="C40" s="152">
        <v>4072</v>
      </c>
      <c r="D40" s="148">
        <f t="shared" si="3"/>
        <v>4276</v>
      </c>
      <c r="E40" s="149">
        <v>168.71</v>
      </c>
      <c r="J40" s="151" t="e">
        <f t="shared" si="4"/>
        <v>#VALUE!</v>
      </c>
      <c r="K40" s="151" t="e">
        <f t="shared" si="0"/>
        <v>#VALUE!</v>
      </c>
    </row>
    <row r="41" spans="1:11" ht="13.5" hidden="1" thickBot="1" x14ac:dyDescent="0.25">
      <c r="A41" s="148" t="e">
        <f t="shared" si="1"/>
        <v>#VALUE!</v>
      </c>
      <c r="B41" s="148" t="e">
        <f t="shared" si="2"/>
        <v>#VALUE!</v>
      </c>
      <c r="C41" s="152">
        <v>4276</v>
      </c>
      <c r="D41" s="148">
        <f t="shared" si="3"/>
        <v>4480</v>
      </c>
      <c r="E41" s="149">
        <v>189.92</v>
      </c>
      <c r="J41" s="151" t="e">
        <f t="shared" si="4"/>
        <v>#VALUE!</v>
      </c>
      <c r="K41" s="151" t="e">
        <f t="shared" si="0"/>
        <v>#VALUE!</v>
      </c>
    </row>
    <row r="42" spans="1:11" ht="13.5" hidden="1" thickBot="1" x14ac:dyDescent="0.25">
      <c r="A42" s="148" t="e">
        <f t="shared" si="1"/>
        <v>#VALUE!</v>
      </c>
      <c r="B42" s="148" t="e">
        <f t="shared" si="2"/>
        <v>#VALUE!</v>
      </c>
      <c r="C42" s="152">
        <v>4480</v>
      </c>
      <c r="D42" s="148">
        <f t="shared" si="3"/>
        <v>4683</v>
      </c>
      <c r="E42" s="149">
        <v>212.27</v>
      </c>
      <c r="J42" s="151" t="e">
        <f t="shared" si="4"/>
        <v>#VALUE!</v>
      </c>
      <c r="K42" s="151" t="e">
        <f t="shared" si="0"/>
        <v>#VALUE!</v>
      </c>
    </row>
    <row r="43" spans="1:11" ht="13.5" hidden="1" thickBot="1" x14ac:dyDescent="0.25">
      <c r="A43" s="148" t="e">
        <f t="shared" si="1"/>
        <v>#VALUE!</v>
      </c>
      <c r="B43" s="148" t="e">
        <f t="shared" si="2"/>
        <v>#VALUE!</v>
      </c>
      <c r="C43" s="152">
        <v>4683</v>
      </c>
      <c r="D43" s="148">
        <f t="shared" si="3"/>
        <v>4887</v>
      </c>
      <c r="E43" s="149">
        <v>235.75</v>
      </c>
      <c r="J43" s="151" t="e">
        <f t="shared" si="4"/>
        <v>#VALUE!</v>
      </c>
      <c r="K43" s="151" t="e">
        <f t="shared" si="0"/>
        <v>#VALUE!</v>
      </c>
    </row>
    <row r="44" spans="1:11" ht="13.5" hidden="1" thickBot="1" x14ac:dyDescent="0.25">
      <c r="A44" s="148" t="e">
        <f t="shared" si="1"/>
        <v>#VALUE!</v>
      </c>
      <c r="B44" s="148" t="e">
        <f t="shared" si="2"/>
        <v>#VALUE!</v>
      </c>
      <c r="C44" s="152">
        <v>4887</v>
      </c>
      <c r="D44" s="148">
        <f t="shared" si="3"/>
        <v>5091</v>
      </c>
      <c r="E44" s="149">
        <v>260.33999999999997</v>
      </c>
      <c r="J44" s="151" t="e">
        <f t="shared" si="4"/>
        <v>#VALUE!</v>
      </c>
      <c r="K44" s="151" t="e">
        <f t="shared" si="0"/>
        <v>#VALUE!</v>
      </c>
    </row>
    <row r="45" spans="1:11" ht="13.5" hidden="1" thickBot="1" x14ac:dyDescent="0.25">
      <c r="A45" s="148" t="e">
        <f t="shared" si="1"/>
        <v>#VALUE!</v>
      </c>
      <c r="B45" s="148" t="e">
        <f t="shared" si="2"/>
        <v>#VALUE!</v>
      </c>
      <c r="C45" s="152">
        <v>5091</v>
      </c>
      <c r="D45" s="148">
        <f t="shared" si="3"/>
        <v>5294</v>
      </c>
      <c r="E45" s="149">
        <v>286.02999999999997</v>
      </c>
      <c r="J45" s="151" t="e">
        <f t="shared" si="4"/>
        <v>#VALUE!</v>
      </c>
      <c r="K45" s="151" t="e">
        <f t="shared" si="0"/>
        <v>#VALUE!</v>
      </c>
    </row>
    <row r="46" spans="1:11" ht="13.5" hidden="1" thickBot="1" x14ac:dyDescent="0.25">
      <c r="A46" s="148" t="e">
        <f t="shared" si="1"/>
        <v>#VALUE!</v>
      </c>
      <c r="B46" s="148" t="e">
        <f t="shared" si="2"/>
        <v>#VALUE!</v>
      </c>
      <c r="C46" s="152">
        <v>5294</v>
      </c>
      <c r="D46" s="148">
        <f t="shared" si="3"/>
        <v>5498</v>
      </c>
      <c r="E46" s="149">
        <v>312.81</v>
      </c>
      <c r="J46" s="151" t="e">
        <f t="shared" si="4"/>
        <v>#VALUE!</v>
      </c>
      <c r="K46" s="151" t="e">
        <f t="shared" si="0"/>
        <v>#VALUE!</v>
      </c>
    </row>
    <row r="47" spans="1:11" ht="13.5" hidden="1" thickBot="1" x14ac:dyDescent="0.25">
      <c r="A47" s="148" t="e">
        <f t="shared" si="1"/>
        <v>#VALUE!</v>
      </c>
      <c r="B47" s="148" t="e">
        <f t="shared" si="2"/>
        <v>#VALUE!</v>
      </c>
      <c r="C47" s="152">
        <v>5498</v>
      </c>
      <c r="D47" s="148">
        <f t="shared" si="3"/>
        <v>5701</v>
      </c>
      <c r="E47" s="149">
        <v>340.66</v>
      </c>
      <c r="J47" s="151" t="e">
        <f t="shared" si="4"/>
        <v>#VALUE!</v>
      </c>
      <c r="K47" s="151" t="e">
        <f t="shared" si="0"/>
        <v>#VALUE!</v>
      </c>
    </row>
    <row r="48" spans="1:11" ht="13.5" hidden="1" thickBot="1" x14ac:dyDescent="0.25">
      <c r="A48" s="148" t="e">
        <f t="shared" si="1"/>
        <v>#VALUE!</v>
      </c>
      <c r="B48" s="148" t="e">
        <f t="shared" si="2"/>
        <v>#VALUE!</v>
      </c>
      <c r="C48" s="152">
        <v>5701</v>
      </c>
      <c r="D48" s="148">
        <f t="shared" si="3"/>
        <v>5905</v>
      </c>
      <c r="E48" s="149">
        <v>369.57</v>
      </c>
      <c r="J48" s="151" t="e">
        <f t="shared" si="4"/>
        <v>#VALUE!</v>
      </c>
      <c r="K48" s="151" t="e">
        <f t="shared" si="0"/>
        <v>#VALUE!</v>
      </c>
    </row>
    <row r="49" spans="1:11" ht="13.5" hidden="1" thickBot="1" x14ac:dyDescent="0.25">
      <c r="A49" s="148" t="e">
        <f t="shared" si="1"/>
        <v>#VALUE!</v>
      </c>
      <c r="B49" s="148" t="e">
        <f t="shared" si="2"/>
        <v>#VALUE!</v>
      </c>
      <c r="C49" s="152">
        <v>5905</v>
      </c>
      <c r="D49" s="148">
        <f t="shared" si="3"/>
        <v>6109</v>
      </c>
      <c r="E49" s="149">
        <v>399.52</v>
      </c>
      <c r="J49" s="151" t="e">
        <f t="shared" si="4"/>
        <v>#VALUE!</v>
      </c>
      <c r="K49" s="151" t="e">
        <f t="shared" si="0"/>
        <v>#VALUE!</v>
      </c>
    </row>
    <row r="50" spans="1:11" ht="13.5" hidden="1" thickBot="1" x14ac:dyDescent="0.25">
      <c r="A50" s="148" t="e">
        <f t="shared" si="1"/>
        <v>#VALUE!</v>
      </c>
      <c r="B50" s="148" t="e">
        <f t="shared" si="2"/>
        <v>#VALUE!</v>
      </c>
      <c r="C50" s="152">
        <v>6109</v>
      </c>
      <c r="D50" s="148">
        <f t="shared" si="3"/>
        <v>6312</v>
      </c>
      <c r="E50" s="149">
        <v>430.49</v>
      </c>
      <c r="J50" s="151" t="e">
        <f t="shared" si="4"/>
        <v>#VALUE!</v>
      </c>
      <c r="K50" s="151" t="e">
        <f t="shared" si="0"/>
        <v>#VALUE!</v>
      </c>
    </row>
    <row r="51" spans="1:11" ht="13.5" hidden="1" thickBot="1" x14ac:dyDescent="0.25">
      <c r="A51" s="148" t="e">
        <f t="shared" si="1"/>
        <v>#VALUE!</v>
      </c>
      <c r="B51" s="148" t="e">
        <f t="shared" si="2"/>
        <v>#VALUE!</v>
      </c>
      <c r="C51" s="152">
        <v>6312</v>
      </c>
      <c r="D51" s="148">
        <f t="shared" si="3"/>
        <v>6516</v>
      </c>
      <c r="E51" s="149">
        <v>462.46</v>
      </c>
      <c r="J51" s="151" t="e">
        <f t="shared" si="4"/>
        <v>#VALUE!</v>
      </c>
      <c r="K51" s="151" t="e">
        <f t="shared" si="0"/>
        <v>#VALUE!</v>
      </c>
    </row>
    <row r="52" spans="1:11" ht="13.5" hidden="1" thickBot="1" x14ac:dyDescent="0.25">
      <c r="A52" s="148" t="e">
        <f t="shared" si="1"/>
        <v>#VALUE!</v>
      </c>
      <c r="B52" s="148" t="e">
        <f t="shared" si="2"/>
        <v>#VALUE!</v>
      </c>
      <c r="C52" s="152">
        <v>6516</v>
      </c>
      <c r="D52" s="148">
        <f t="shared" si="3"/>
        <v>6720</v>
      </c>
      <c r="E52" s="149">
        <v>495.43</v>
      </c>
      <c r="J52" s="151" t="e">
        <f t="shared" si="4"/>
        <v>#VALUE!</v>
      </c>
      <c r="K52" s="151" t="e">
        <f t="shared" si="0"/>
        <v>#VALUE!</v>
      </c>
    </row>
    <row r="53" spans="1:11" ht="13.5" hidden="1" thickBot="1" x14ac:dyDescent="0.25">
      <c r="A53" s="148" t="e">
        <f t="shared" si="1"/>
        <v>#VALUE!</v>
      </c>
      <c r="B53" s="148" t="e">
        <f t="shared" si="2"/>
        <v>#VALUE!</v>
      </c>
      <c r="C53" s="152">
        <v>6720</v>
      </c>
      <c r="D53" s="148">
        <f t="shared" si="3"/>
        <v>6923</v>
      </c>
      <c r="E53" s="149">
        <v>529.36</v>
      </c>
      <c r="J53" s="151" t="e">
        <f t="shared" si="4"/>
        <v>#VALUE!</v>
      </c>
      <c r="K53" s="151" t="e">
        <f t="shared" si="0"/>
        <v>#VALUE!</v>
      </c>
    </row>
    <row r="54" spans="1:11" ht="13.5" hidden="1" thickBot="1" x14ac:dyDescent="0.25">
      <c r="A54" s="148" t="e">
        <f t="shared" si="1"/>
        <v>#VALUE!</v>
      </c>
      <c r="B54" s="148" t="e">
        <f t="shared" si="2"/>
        <v>#VALUE!</v>
      </c>
      <c r="C54" s="152">
        <v>6923</v>
      </c>
      <c r="D54" s="148">
        <f t="shared" si="3"/>
        <v>7127</v>
      </c>
      <c r="E54" s="149">
        <v>564.23</v>
      </c>
      <c r="J54" s="151" t="e">
        <f t="shared" si="4"/>
        <v>#VALUE!</v>
      </c>
      <c r="K54" s="151" t="e">
        <f t="shared" si="0"/>
        <v>#VALUE!</v>
      </c>
    </row>
    <row r="55" spans="1:11" ht="13.5" hidden="1" thickBot="1" x14ac:dyDescent="0.25">
      <c r="A55" s="148" t="e">
        <f t="shared" si="1"/>
        <v>#VALUE!</v>
      </c>
      <c r="B55" s="148" t="e">
        <f t="shared" si="2"/>
        <v>#VALUE!</v>
      </c>
      <c r="C55" s="152">
        <v>7127</v>
      </c>
      <c r="D55" s="148">
        <f t="shared" si="3"/>
        <v>7330</v>
      </c>
      <c r="E55" s="149">
        <v>600.04</v>
      </c>
      <c r="J55" s="151" t="e">
        <f t="shared" si="4"/>
        <v>#VALUE!</v>
      </c>
      <c r="K55" s="151" t="e">
        <f t="shared" si="0"/>
        <v>#VALUE!</v>
      </c>
    </row>
    <row r="56" spans="1:11" ht="13.5" hidden="1" thickBot="1" x14ac:dyDescent="0.25">
      <c r="A56" s="148" t="e">
        <f t="shared" si="1"/>
        <v>#VALUE!</v>
      </c>
      <c r="B56" s="148" t="e">
        <f t="shared" si="2"/>
        <v>#VALUE!</v>
      </c>
      <c r="C56" s="152">
        <v>7330</v>
      </c>
      <c r="D56" s="148">
        <f t="shared" si="3"/>
        <v>7534</v>
      </c>
      <c r="E56" s="149">
        <v>636.75</v>
      </c>
      <c r="J56" s="151" t="e">
        <f t="shared" si="4"/>
        <v>#VALUE!</v>
      </c>
      <c r="K56" s="151" t="e">
        <f t="shared" si="0"/>
        <v>#VALUE!</v>
      </c>
    </row>
    <row r="57" spans="1:11" ht="13.5" hidden="1" thickBot="1" x14ac:dyDescent="0.25">
      <c r="A57" s="148" t="e">
        <f t="shared" si="1"/>
        <v>#VALUE!</v>
      </c>
      <c r="B57" s="148" t="e">
        <f t="shared" si="2"/>
        <v>#VALUE!</v>
      </c>
      <c r="C57" s="152">
        <v>7534</v>
      </c>
      <c r="D57" s="148">
        <f t="shared" si="3"/>
        <v>7738</v>
      </c>
      <c r="E57" s="149">
        <v>674.35</v>
      </c>
      <c r="J57" s="151" t="e">
        <f t="shared" si="4"/>
        <v>#VALUE!</v>
      </c>
      <c r="K57" s="151" t="e">
        <f t="shared" si="0"/>
        <v>#VALUE!</v>
      </c>
    </row>
    <row r="58" spans="1:11" ht="13.5" hidden="1" thickBot="1" x14ac:dyDescent="0.25">
      <c r="A58" s="148" t="e">
        <f t="shared" si="1"/>
        <v>#VALUE!</v>
      </c>
      <c r="B58" s="148" t="e">
        <f t="shared" si="2"/>
        <v>#VALUE!</v>
      </c>
      <c r="C58" s="152">
        <v>7738</v>
      </c>
      <c r="D58" s="148">
        <f t="shared" si="3"/>
        <v>7941</v>
      </c>
      <c r="E58" s="149">
        <v>712.8</v>
      </c>
      <c r="J58" s="151" t="e">
        <f t="shared" si="4"/>
        <v>#VALUE!</v>
      </c>
      <c r="K58" s="151" t="e">
        <f t="shared" si="0"/>
        <v>#VALUE!</v>
      </c>
    </row>
    <row r="59" spans="1:11" ht="13.5" hidden="1" thickBot="1" x14ac:dyDescent="0.25">
      <c r="A59" s="148" t="e">
        <f t="shared" si="1"/>
        <v>#VALUE!</v>
      </c>
      <c r="B59" s="148" t="e">
        <f t="shared" si="2"/>
        <v>#VALUE!</v>
      </c>
      <c r="C59" s="152">
        <v>7941</v>
      </c>
      <c r="D59" s="148">
        <f t="shared" si="3"/>
        <v>8145</v>
      </c>
      <c r="E59" s="149">
        <v>752.1</v>
      </c>
      <c r="J59" s="151" t="e">
        <f t="shared" si="4"/>
        <v>#VALUE!</v>
      </c>
      <c r="K59" s="151" t="e">
        <f t="shared" si="0"/>
        <v>#VALUE!</v>
      </c>
    </row>
    <row r="60" spans="1:11" ht="13.5" hidden="1" thickBot="1" x14ac:dyDescent="0.25">
      <c r="A60" s="148" t="e">
        <f t="shared" si="1"/>
        <v>#VALUE!</v>
      </c>
      <c r="B60" s="148" t="e">
        <f t="shared" si="2"/>
        <v>#VALUE!</v>
      </c>
      <c r="C60" s="152">
        <v>8145</v>
      </c>
      <c r="D60" s="148">
        <f t="shared" si="3"/>
        <v>8349</v>
      </c>
      <c r="E60" s="149">
        <v>792.22</v>
      </c>
      <c r="J60" s="151" t="e">
        <f t="shared" si="4"/>
        <v>#VALUE!</v>
      </c>
      <c r="K60" s="151" t="e">
        <f t="shared" si="0"/>
        <v>#VALUE!</v>
      </c>
    </row>
    <row r="61" spans="1:11" ht="13.5" hidden="1" thickBot="1" x14ac:dyDescent="0.25">
      <c r="A61" s="148" t="e">
        <f t="shared" si="1"/>
        <v>#VALUE!</v>
      </c>
      <c r="B61" s="148" t="e">
        <f t="shared" si="2"/>
        <v>#VALUE!</v>
      </c>
      <c r="C61" s="152">
        <v>8349</v>
      </c>
      <c r="D61" s="148">
        <f t="shared" si="3"/>
        <v>8552</v>
      </c>
      <c r="E61" s="149">
        <v>833.12</v>
      </c>
      <c r="J61" s="151" t="e">
        <f t="shared" si="4"/>
        <v>#VALUE!</v>
      </c>
      <c r="K61" s="151" t="e">
        <f t="shared" si="0"/>
        <v>#VALUE!</v>
      </c>
    </row>
    <row r="62" spans="1:11" ht="13.5" hidden="1" thickBot="1" x14ac:dyDescent="0.25">
      <c r="A62" s="148" t="e">
        <f t="shared" si="1"/>
        <v>#VALUE!</v>
      </c>
      <c r="B62" s="148" t="e">
        <f t="shared" si="2"/>
        <v>#VALUE!</v>
      </c>
      <c r="C62" s="152">
        <v>8552</v>
      </c>
      <c r="D62" s="148">
        <f t="shared" si="3"/>
        <v>8756</v>
      </c>
      <c r="E62" s="149">
        <v>874.79</v>
      </c>
      <c r="J62" s="151" t="e">
        <f t="shared" si="4"/>
        <v>#VALUE!</v>
      </c>
      <c r="K62" s="151" t="e">
        <f t="shared" si="0"/>
        <v>#VALUE!</v>
      </c>
    </row>
    <row r="63" spans="1:11" ht="13.5" hidden="1" thickBot="1" x14ac:dyDescent="0.25">
      <c r="A63" s="148" t="e">
        <f t="shared" si="1"/>
        <v>#VALUE!</v>
      </c>
      <c r="B63" s="148" t="e">
        <f t="shared" si="2"/>
        <v>#VALUE!</v>
      </c>
      <c r="C63" s="152">
        <v>8756</v>
      </c>
      <c r="D63" s="148">
        <f t="shared" si="3"/>
        <v>8959</v>
      </c>
      <c r="E63" s="149">
        <v>917.21</v>
      </c>
      <c r="J63" s="151" t="e">
        <f t="shared" si="4"/>
        <v>#VALUE!</v>
      </c>
      <c r="K63" s="151" t="e">
        <f t="shared" si="0"/>
        <v>#VALUE!</v>
      </c>
    </row>
    <row r="64" spans="1:11" ht="13.5" hidden="1" thickBot="1" x14ac:dyDescent="0.25">
      <c r="A64" s="148" t="e">
        <f t="shared" si="1"/>
        <v>#VALUE!</v>
      </c>
      <c r="B64" s="148" t="e">
        <f t="shared" si="2"/>
        <v>#VALUE!</v>
      </c>
      <c r="C64" s="152">
        <v>8959</v>
      </c>
      <c r="D64" s="148">
        <f t="shared" si="3"/>
        <v>9163</v>
      </c>
      <c r="E64" s="149">
        <v>960.34</v>
      </c>
      <c r="J64" s="151" t="e">
        <f t="shared" si="4"/>
        <v>#VALUE!</v>
      </c>
      <c r="K64" s="151" t="e">
        <f t="shared" si="0"/>
        <v>#VALUE!</v>
      </c>
    </row>
    <row r="65" spans="1:11" ht="13.5" hidden="1" thickBot="1" x14ac:dyDescent="0.25">
      <c r="A65" s="148" t="e">
        <f t="shared" si="1"/>
        <v>#VALUE!</v>
      </c>
      <c r="B65" s="148" t="e">
        <f t="shared" si="2"/>
        <v>#VALUE!</v>
      </c>
      <c r="C65" s="152">
        <v>9163</v>
      </c>
      <c r="D65" s="148">
        <f t="shared" si="3"/>
        <v>9367</v>
      </c>
      <c r="E65" s="149">
        <v>1004.16</v>
      </c>
      <c r="J65" s="151" t="e">
        <f t="shared" si="4"/>
        <v>#VALUE!</v>
      </c>
      <c r="K65" s="151" t="e">
        <f t="shared" si="0"/>
        <v>#VALUE!</v>
      </c>
    </row>
    <row r="66" spans="1:11" ht="13.5" hidden="1" thickBot="1" x14ac:dyDescent="0.25">
      <c r="A66" s="148" t="e">
        <f t="shared" si="1"/>
        <v>#VALUE!</v>
      </c>
      <c r="B66" s="148" t="e">
        <f t="shared" si="2"/>
        <v>#VALUE!</v>
      </c>
      <c r="C66" s="152">
        <v>9367</v>
      </c>
      <c r="D66" s="148">
        <f t="shared" si="3"/>
        <v>9570</v>
      </c>
      <c r="E66" s="149">
        <v>1048.6400000000001</v>
      </c>
      <c r="J66" s="151" t="e">
        <f t="shared" si="4"/>
        <v>#VALUE!</v>
      </c>
      <c r="K66" s="151" t="e">
        <f t="shared" si="0"/>
        <v>#VALUE!</v>
      </c>
    </row>
    <row r="67" spans="1:11" ht="13.5" hidden="1" thickBot="1" x14ac:dyDescent="0.25">
      <c r="A67" s="148" t="e">
        <f t="shared" si="1"/>
        <v>#VALUE!</v>
      </c>
      <c r="B67" s="148" t="e">
        <f t="shared" si="2"/>
        <v>#VALUE!</v>
      </c>
      <c r="C67" s="152">
        <v>9570</v>
      </c>
      <c r="D67" s="148">
        <f t="shared" si="3"/>
        <v>9774</v>
      </c>
      <c r="E67" s="149">
        <v>1093.75</v>
      </c>
      <c r="J67" s="151" t="e">
        <f t="shared" ref="J67:J87" si="5">IF($I$3&gt;=C67,$I$3,0)</f>
        <v>#VALUE!</v>
      </c>
      <c r="K67" s="151" t="e">
        <f t="shared" ref="K67:K87" si="6">IF($I$3&lt;=D67,$I$3,0)</f>
        <v>#VALUE!</v>
      </c>
    </row>
    <row r="68" spans="1:11" ht="13.5" hidden="1" thickBot="1" x14ac:dyDescent="0.25">
      <c r="A68" s="148" t="e">
        <f t="shared" ref="A68:A87" si="7">+J68-K68</f>
        <v>#VALUE!</v>
      </c>
      <c r="B68" s="148" t="e">
        <f t="shared" ref="B68:B87" si="8">+J68-K68</f>
        <v>#VALUE!</v>
      </c>
      <c r="C68" s="152">
        <v>9774</v>
      </c>
      <c r="D68" s="148">
        <f t="shared" ref="D68:D86" si="9">+C69-0.00000000000001</f>
        <v>9978</v>
      </c>
      <c r="E68" s="149">
        <v>1139.48</v>
      </c>
      <c r="J68" s="151" t="e">
        <f t="shared" si="5"/>
        <v>#VALUE!</v>
      </c>
      <c r="K68" s="151" t="e">
        <f t="shared" si="6"/>
        <v>#VALUE!</v>
      </c>
    </row>
    <row r="69" spans="1:11" ht="13.5" hidden="1" thickBot="1" x14ac:dyDescent="0.25">
      <c r="A69" s="148" t="e">
        <f t="shared" si="7"/>
        <v>#VALUE!</v>
      </c>
      <c r="B69" s="148" t="e">
        <f t="shared" si="8"/>
        <v>#VALUE!</v>
      </c>
      <c r="C69" s="152">
        <v>9978</v>
      </c>
      <c r="D69" s="148">
        <f t="shared" si="9"/>
        <v>10181</v>
      </c>
      <c r="E69" s="149">
        <v>1185.78</v>
      </c>
      <c r="J69" s="151" t="e">
        <f t="shared" si="5"/>
        <v>#VALUE!</v>
      </c>
      <c r="K69" s="151" t="e">
        <f t="shared" si="6"/>
        <v>#VALUE!</v>
      </c>
    </row>
    <row r="70" spans="1:11" ht="13.5" hidden="1" thickBot="1" x14ac:dyDescent="0.25">
      <c r="A70" s="148" t="e">
        <f t="shared" si="7"/>
        <v>#VALUE!</v>
      </c>
      <c r="B70" s="148" t="e">
        <f t="shared" si="8"/>
        <v>#VALUE!</v>
      </c>
      <c r="C70" s="152">
        <v>10181</v>
      </c>
      <c r="D70" s="148">
        <f t="shared" si="9"/>
        <v>10385</v>
      </c>
      <c r="E70" s="149">
        <v>1232.6199999999999</v>
      </c>
      <c r="J70" s="151" t="e">
        <f t="shared" si="5"/>
        <v>#VALUE!</v>
      </c>
      <c r="K70" s="151" t="e">
        <f t="shared" si="6"/>
        <v>#VALUE!</v>
      </c>
    </row>
    <row r="71" spans="1:11" ht="13.5" hidden="1" thickBot="1" x14ac:dyDescent="0.25">
      <c r="A71" s="148" t="e">
        <f t="shared" si="7"/>
        <v>#VALUE!</v>
      </c>
      <c r="B71" s="148" t="e">
        <f t="shared" si="8"/>
        <v>#VALUE!</v>
      </c>
      <c r="C71" s="152">
        <v>10385</v>
      </c>
      <c r="D71" s="148">
        <f t="shared" si="9"/>
        <v>10588</v>
      </c>
      <c r="E71" s="149">
        <v>1279.99</v>
      </c>
      <c r="J71" s="151" t="e">
        <f t="shared" si="5"/>
        <v>#VALUE!</v>
      </c>
      <c r="K71" s="151" t="e">
        <f t="shared" si="6"/>
        <v>#VALUE!</v>
      </c>
    </row>
    <row r="72" spans="1:11" ht="13.5" hidden="1" thickBot="1" x14ac:dyDescent="0.25">
      <c r="A72" s="148" t="e">
        <f t="shared" si="7"/>
        <v>#VALUE!</v>
      </c>
      <c r="B72" s="148" t="e">
        <f t="shared" si="8"/>
        <v>#VALUE!</v>
      </c>
      <c r="C72" s="152">
        <v>10588</v>
      </c>
      <c r="D72" s="148">
        <f t="shared" si="9"/>
        <v>10792</v>
      </c>
      <c r="E72" s="149">
        <v>1327.85</v>
      </c>
      <c r="J72" s="151" t="e">
        <f t="shared" si="5"/>
        <v>#VALUE!</v>
      </c>
      <c r="K72" s="151" t="e">
        <f t="shared" si="6"/>
        <v>#VALUE!</v>
      </c>
    </row>
    <row r="73" spans="1:11" ht="13.5" hidden="1" thickBot="1" x14ac:dyDescent="0.25">
      <c r="A73" s="148" t="e">
        <f t="shared" si="7"/>
        <v>#VALUE!</v>
      </c>
      <c r="B73" s="148" t="e">
        <f t="shared" si="8"/>
        <v>#VALUE!</v>
      </c>
      <c r="C73" s="152">
        <v>10792</v>
      </c>
      <c r="D73" s="148">
        <f t="shared" si="9"/>
        <v>10996</v>
      </c>
      <c r="E73" s="149">
        <v>1376.16</v>
      </c>
      <c r="J73" s="151" t="e">
        <f t="shared" si="5"/>
        <v>#VALUE!</v>
      </c>
      <c r="K73" s="151" t="e">
        <f t="shared" si="6"/>
        <v>#VALUE!</v>
      </c>
    </row>
    <row r="74" spans="1:11" ht="13.5" hidden="1" thickBot="1" x14ac:dyDescent="0.25">
      <c r="A74" s="148" t="e">
        <f t="shared" si="7"/>
        <v>#VALUE!</v>
      </c>
      <c r="B74" s="148" t="e">
        <f t="shared" si="8"/>
        <v>#VALUE!</v>
      </c>
      <c r="C74" s="152">
        <v>10996</v>
      </c>
      <c r="D74" s="148">
        <f t="shared" si="9"/>
        <v>11199</v>
      </c>
      <c r="E74" s="149">
        <v>1424.9</v>
      </c>
      <c r="J74" s="151" t="e">
        <f t="shared" si="5"/>
        <v>#VALUE!</v>
      </c>
      <c r="K74" s="151" t="e">
        <f t="shared" si="6"/>
        <v>#VALUE!</v>
      </c>
    </row>
    <row r="75" spans="1:11" ht="13.5" hidden="1" thickBot="1" x14ac:dyDescent="0.25">
      <c r="A75" s="148" t="e">
        <f t="shared" si="7"/>
        <v>#VALUE!</v>
      </c>
      <c r="B75" s="148" t="e">
        <f t="shared" si="8"/>
        <v>#VALUE!</v>
      </c>
      <c r="C75" s="152">
        <v>11199</v>
      </c>
      <c r="D75" s="148">
        <f t="shared" si="9"/>
        <v>11403</v>
      </c>
      <c r="E75" s="149">
        <v>1474.04</v>
      </c>
      <c r="J75" s="151" t="e">
        <f t="shared" si="5"/>
        <v>#VALUE!</v>
      </c>
      <c r="K75" s="151" t="e">
        <f t="shared" si="6"/>
        <v>#VALUE!</v>
      </c>
    </row>
    <row r="76" spans="1:11" ht="13.5" hidden="1" thickBot="1" x14ac:dyDescent="0.25">
      <c r="A76" s="148" t="e">
        <f t="shared" si="7"/>
        <v>#VALUE!</v>
      </c>
      <c r="B76" s="148" t="e">
        <f t="shared" si="8"/>
        <v>#VALUE!</v>
      </c>
      <c r="C76" s="152">
        <v>11403</v>
      </c>
      <c r="D76" s="148">
        <f t="shared" si="9"/>
        <v>11607</v>
      </c>
      <c r="E76" s="149">
        <v>1523.54</v>
      </c>
      <c r="J76" s="151" t="e">
        <f t="shared" si="5"/>
        <v>#VALUE!</v>
      </c>
      <c r="K76" s="151" t="e">
        <f t="shared" si="6"/>
        <v>#VALUE!</v>
      </c>
    </row>
    <row r="77" spans="1:11" ht="13.5" hidden="1" thickBot="1" x14ac:dyDescent="0.25">
      <c r="A77" s="148" t="e">
        <f t="shared" si="7"/>
        <v>#VALUE!</v>
      </c>
      <c r="B77" s="148" t="e">
        <f t="shared" si="8"/>
        <v>#VALUE!</v>
      </c>
      <c r="C77" s="152">
        <v>11607</v>
      </c>
      <c r="D77" s="148">
        <f t="shared" si="9"/>
        <v>11810</v>
      </c>
      <c r="E77" s="149">
        <v>1573.37</v>
      </c>
      <c r="J77" s="151" t="e">
        <f t="shared" si="5"/>
        <v>#VALUE!</v>
      </c>
      <c r="K77" s="151" t="e">
        <f t="shared" si="6"/>
        <v>#VALUE!</v>
      </c>
    </row>
    <row r="78" spans="1:11" ht="13.5" hidden="1" thickBot="1" x14ac:dyDescent="0.25">
      <c r="A78" s="148" t="e">
        <f t="shared" si="7"/>
        <v>#VALUE!</v>
      </c>
      <c r="B78" s="148" t="e">
        <f t="shared" si="8"/>
        <v>#VALUE!</v>
      </c>
      <c r="C78" s="152">
        <v>11810</v>
      </c>
      <c r="D78" s="148">
        <f t="shared" si="9"/>
        <v>12014</v>
      </c>
      <c r="E78" s="149">
        <v>1623.49</v>
      </c>
      <c r="J78" s="151" t="e">
        <f t="shared" si="5"/>
        <v>#VALUE!</v>
      </c>
      <c r="K78" s="151" t="e">
        <f t="shared" si="6"/>
        <v>#VALUE!</v>
      </c>
    </row>
    <row r="79" spans="1:11" ht="13.5" hidden="1" thickBot="1" x14ac:dyDescent="0.25">
      <c r="A79" s="148" t="e">
        <f t="shared" si="7"/>
        <v>#VALUE!</v>
      </c>
      <c r="B79" s="148" t="e">
        <f t="shared" si="8"/>
        <v>#VALUE!</v>
      </c>
      <c r="C79" s="152">
        <v>12014</v>
      </c>
      <c r="D79" s="148">
        <f t="shared" si="9"/>
        <v>12217</v>
      </c>
      <c r="E79" s="149">
        <v>1673.89</v>
      </c>
      <c r="J79" s="151" t="e">
        <f t="shared" si="5"/>
        <v>#VALUE!</v>
      </c>
      <c r="K79" s="151" t="e">
        <f t="shared" si="6"/>
        <v>#VALUE!</v>
      </c>
    </row>
    <row r="80" spans="1:11" ht="13.5" hidden="1" thickBot="1" x14ac:dyDescent="0.25">
      <c r="A80" s="148" t="e">
        <f t="shared" si="7"/>
        <v>#VALUE!</v>
      </c>
      <c r="B80" s="148" t="e">
        <f t="shared" si="8"/>
        <v>#VALUE!</v>
      </c>
      <c r="C80" s="152">
        <v>12217</v>
      </c>
      <c r="D80" s="148">
        <f t="shared" si="9"/>
        <v>12421</v>
      </c>
      <c r="E80" s="149">
        <v>1724.51</v>
      </c>
      <c r="J80" s="151" t="e">
        <f t="shared" si="5"/>
        <v>#VALUE!</v>
      </c>
      <c r="K80" s="151" t="e">
        <f t="shared" si="6"/>
        <v>#VALUE!</v>
      </c>
    </row>
    <row r="81" spans="1:11" ht="13.5" hidden="1" thickBot="1" x14ac:dyDescent="0.25">
      <c r="A81" s="148" t="e">
        <f t="shared" si="7"/>
        <v>#VALUE!</v>
      </c>
      <c r="B81" s="148" t="e">
        <f t="shared" si="8"/>
        <v>#VALUE!</v>
      </c>
      <c r="C81" s="152">
        <v>12421</v>
      </c>
      <c r="D81" s="148">
        <f t="shared" si="9"/>
        <v>12625</v>
      </c>
      <c r="E81" s="149">
        <v>1775.33</v>
      </c>
      <c r="J81" s="151" t="e">
        <f t="shared" si="5"/>
        <v>#VALUE!</v>
      </c>
      <c r="K81" s="151" t="e">
        <f t="shared" si="6"/>
        <v>#VALUE!</v>
      </c>
    </row>
    <row r="82" spans="1:11" ht="13.5" hidden="1" thickBot="1" x14ac:dyDescent="0.25">
      <c r="A82" s="148" t="e">
        <f t="shared" si="7"/>
        <v>#VALUE!</v>
      </c>
      <c r="B82" s="148" t="e">
        <f t="shared" si="8"/>
        <v>#VALUE!</v>
      </c>
      <c r="C82" s="152">
        <v>12625</v>
      </c>
      <c r="D82" s="148">
        <f t="shared" si="9"/>
        <v>12828</v>
      </c>
      <c r="E82" s="149">
        <v>1826.31</v>
      </c>
      <c r="J82" s="151" t="e">
        <f t="shared" si="5"/>
        <v>#VALUE!</v>
      </c>
      <c r="K82" s="151" t="e">
        <f t="shared" si="6"/>
        <v>#VALUE!</v>
      </c>
    </row>
    <row r="83" spans="1:11" ht="13.5" hidden="1" thickBot="1" x14ac:dyDescent="0.25">
      <c r="A83" s="148" t="e">
        <f t="shared" si="7"/>
        <v>#VALUE!</v>
      </c>
      <c r="B83" s="148" t="e">
        <f t="shared" si="8"/>
        <v>#VALUE!</v>
      </c>
      <c r="C83" s="152">
        <v>12828</v>
      </c>
      <c r="D83" s="148">
        <f t="shared" si="9"/>
        <v>13032</v>
      </c>
      <c r="E83" s="149">
        <v>1877.42</v>
      </c>
      <c r="J83" s="151" t="e">
        <f t="shared" si="5"/>
        <v>#VALUE!</v>
      </c>
      <c r="K83" s="151" t="e">
        <f t="shared" si="6"/>
        <v>#VALUE!</v>
      </c>
    </row>
    <row r="84" spans="1:11" ht="13.5" hidden="1" thickBot="1" x14ac:dyDescent="0.25">
      <c r="A84" s="148" t="e">
        <f t="shared" si="7"/>
        <v>#VALUE!</v>
      </c>
      <c r="B84" s="148" t="e">
        <f t="shared" si="8"/>
        <v>#VALUE!</v>
      </c>
      <c r="C84" s="152">
        <v>13032</v>
      </c>
      <c r="D84" s="148">
        <f t="shared" si="9"/>
        <v>13236</v>
      </c>
      <c r="E84" s="149">
        <v>1928.63</v>
      </c>
      <c r="J84" s="151" t="e">
        <f t="shared" si="5"/>
        <v>#VALUE!</v>
      </c>
      <c r="K84" s="151" t="e">
        <f t="shared" si="6"/>
        <v>#VALUE!</v>
      </c>
    </row>
    <row r="85" spans="1:11" ht="13.5" hidden="1" thickBot="1" x14ac:dyDescent="0.25">
      <c r="A85" s="148" t="e">
        <f t="shared" si="7"/>
        <v>#VALUE!</v>
      </c>
      <c r="B85" s="148" t="e">
        <f t="shared" si="8"/>
        <v>#VALUE!</v>
      </c>
      <c r="C85" s="152">
        <v>13236</v>
      </c>
      <c r="D85" s="148">
        <f t="shared" si="9"/>
        <v>13439</v>
      </c>
      <c r="E85" s="149">
        <v>1979.89</v>
      </c>
      <c r="J85" s="151" t="e">
        <f t="shared" si="5"/>
        <v>#VALUE!</v>
      </c>
      <c r="K85" s="151" t="e">
        <f t="shared" si="6"/>
        <v>#VALUE!</v>
      </c>
    </row>
    <row r="86" spans="1:11" ht="13.5" hidden="1" thickBot="1" x14ac:dyDescent="0.25">
      <c r="A86" s="148" t="e">
        <f t="shared" si="7"/>
        <v>#VALUE!</v>
      </c>
      <c r="B86" s="148" t="e">
        <f t="shared" si="8"/>
        <v>#VALUE!</v>
      </c>
      <c r="C86" s="152">
        <v>13439</v>
      </c>
      <c r="D86" s="148">
        <f t="shared" si="9"/>
        <v>13643</v>
      </c>
      <c r="E86" s="149">
        <v>2031.18</v>
      </c>
      <c r="J86" s="151" t="e">
        <f t="shared" si="5"/>
        <v>#VALUE!</v>
      </c>
      <c r="K86" s="151" t="e">
        <f t="shared" si="6"/>
        <v>#VALUE!</v>
      </c>
    </row>
    <row r="87" spans="1:11" ht="13.5" hidden="1" thickBot="1" x14ac:dyDescent="0.25">
      <c r="A87" s="148" t="e">
        <f t="shared" si="7"/>
        <v>#VALUE!</v>
      </c>
      <c r="B87" s="148" t="e">
        <f t="shared" si="8"/>
        <v>#VALUE!</v>
      </c>
      <c r="C87" s="152">
        <v>13643</v>
      </c>
      <c r="D87" s="148" t="s">
        <v>68</v>
      </c>
      <c r="E87" s="149" t="e">
        <f>IF(I3&gt;=C87,27%*I3-1622,0)</f>
        <v>#VALUE!</v>
      </c>
      <c r="J87" s="151" t="e">
        <f t="shared" si="5"/>
        <v>#VALUE!</v>
      </c>
      <c r="K87" s="151" t="e">
        <f t="shared" si="6"/>
        <v>#VALUE!</v>
      </c>
    </row>
    <row r="88" spans="1:11" hidden="1" x14ac:dyDescent="0.2"/>
    <row r="89" spans="1:11" hidden="1" x14ac:dyDescent="0.2"/>
  </sheetData>
  <sheetProtection password="BE45" sheet="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J87"/>
  <sheetViews>
    <sheetView topLeftCell="A83" workbookViewId="0">
      <selection sqref="A1:IV82"/>
    </sheetView>
  </sheetViews>
  <sheetFormatPr baseColWidth="10" defaultColWidth="18" defaultRowHeight="12" x14ac:dyDescent="0.2"/>
  <cols>
    <col min="1" max="1" width="9.7109375" style="142" bestFit="1" customWidth="1"/>
    <col min="2" max="2" width="15.28515625" style="142" customWidth="1"/>
    <col min="3" max="3" width="13.28515625" style="142" customWidth="1"/>
    <col min="4" max="4" width="8.7109375" style="142" customWidth="1"/>
    <col min="5" max="5" width="1.5703125" style="142" customWidth="1"/>
    <col min="6" max="16384" width="18" style="142"/>
  </cols>
  <sheetData>
    <row r="1" spans="1:10" ht="26.25" hidden="1" thickBot="1" x14ac:dyDescent="0.25">
      <c r="A1" s="138" t="s">
        <v>70</v>
      </c>
      <c r="B1" s="139"/>
      <c r="C1" s="140"/>
      <c r="D1" s="141"/>
      <c r="F1" s="143" t="s">
        <v>71</v>
      </c>
      <c r="G1" s="143" t="s">
        <v>72</v>
      </c>
      <c r="H1" s="143" t="s">
        <v>73</v>
      </c>
      <c r="I1" s="143" t="s">
        <v>74</v>
      </c>
      <c r="J1" s="143" t="s">
        <v>75</v>
      </c>
    </row>
    <row r="2" spans="1:10" ht="60.75" hidden="1" thickBot="1" x14ac:dyDescent="0.3">
      <c r="A2" s="144" t="s">
        <v>76</v>
      </c>
      <c r="B2" s="144" t="s">
        <v>127</v>
      </c>
      <c r="C2" s="144" t="s">
        <v>78</v>
      </c>
      <c r="D2" s="276" t="s">
        <v>128</v>
      </c>
      <c r="F2" s="145" t="e">
        <f>IF(H3&gt;B44,0,VLOOKUP(G2,A:D,4,FALSE))</f>
        <v>#VALUE!</v>
      </c>
      <c r="G2" s="146">
        <v>0</v>
      </c>
      <c r="H2" s="147" t="e">
        <f>+'Impuesto de Renta'!L18</f>
        <v>#VALUE!</v>
      </c>
    </row>
    <row r="3" spans="1:10" ht="15.75" hidden="1" thickBot="1" x14ac:dyDescent="0.3">
      <c r="A3" s="148" t="e">
        <f>+I3-J3</f>
        <v>#VALUE!</v>
      </c>
      <c r="B3" s="148">
        <v>0</v>
      </c>
      <c r="C3" s="148">
        <f>+B4-0.0000000000001</f>
        <v>1548</v>
      </c>
      <c r="D3" s="164">
        <v>0</v>
      </c>
      <c r="F3" s="147" t="e">
        <f>IF(H3&gt;B44,D87,0)</f>
        <v>#VALUE!</v>
      </c>
      <c r="G3" s="150"/>
      <c r="H3" s="145" t="e">
        <f>+H2/'Cálculo % Fijo de Ret.Fte.'!G16</f>
        <v>#VALUE!</v>
      </c>
      <c r="I3" s="151" t="e">
        <f>IF($H$3&gt;=B3,$H$3,0)</f>
        <v>#VALUE!</v>
      </c>
      <c r="J3" s="151" t="e">
        <f t="shared" ref="J3:J44" si="0">IF($H$3&lt;=C3,$H$3,0)</f>
        <v>#VALUE!</v>
      </c>
    </row>
    <row r="4" spans="1:10" ht="15.75" hidden="1" thickBot="1" x14ac:dyDescent="0.3">
      <c r="A4" s="148" t="e">
        <f t="shared" ref="A4:A44" si="1">+I4-J4</f>
        <v>#VALUE!</v>
      </c>
      <c r="B4" s="148">
        <v>1548</v>
      </c>
      <c r="C4" s="148">
        <f>+B5-0.0000000000001</f>
        <v>1588</v>
      </c>
      <c r="D4" s="164">
        <v>1.08</v>
      </c>
      <c r="F4" s="153"/>
      <c r="G4" s="153"/>
      <c r="H4" s="153"/>
      <c r="I4" s="151" t="e">
        <f t="shared" ref="I4:I44" si="2">IF($H$3&gt;=B4,$H$3,0)</f>
        <v>#VALUE!</v>
      </c>
      <c r="J4" s="151" t="e">
        <f t="shared" si="0"/>
        <v>#VALUE!</v>
      </c>
    </row>
    <row r="5" spans="1:10" ht="15.75" hidden="1" thickBot="1" x14ac:dyDescent="0.3">
      <c r="A5" s="148" t="e">
        <f t="shared" si="1"/>
        <v>#VALUE!</v>
      </c>
      <c r="B5" s="148">
        <v>1588</v>
      </c>
      <c r="C5" s="148">
        <f t="shared" ref="C5:C43" si="3">+B6-0.0000000000001</f>
        <v>1629</v>
      </c>
      <c r="D5" s="164">
        <v>1.1000000000000001</v>
      </c>
      <c r="F5" s="154"/>
      <c r="G5" s="154"/>
      <c r="H5" s="154"/>
      <c r="I5" s="151" t="e">
        <f t="shared" si="2"/>
        <v>#VALUE!</v>
      </c>
      <c r="J5" s="151" t="e">
        <f t="shared" si="0"/>
        <v>#VALUE!</v>
      </c>
    </row>
    <row r="6" spans="1:10" ht="15.75" hidden="1" thickBot="1" x14ac:dyDescent="0.3">
      <c r="A6" s="148" t="e">
        <f t="shared" si="1"/>
        <v>#VALUE!</v>
      </c>
      <c r="B6" s="148">
        <v>1629</v>
      </c>
      <c r="C6" s="148">
        <f t="shared" si="3"/>
        <v>1670</v>
      </c>
      <c r="D6" s="164">
        <v>1.1299999999999999</v>
      </c>
      <c r="F6" s="154"/>
      <c r="G6" s="154"/>
      <c r="H6" s="154"/>
      <c r="I6" s="151" t="e">
        <f t="shared" si="2"/>
        <v>#VALUE!</v>
      </c>
      <c r="J6" s="151" t="e">
        <f t="shared" si="0"/>
        <v>#VALUE!</v>
      </c>
    </row>
    <row r="7" spans="1:10" ht="15.75" hidden="1" thickBot="1" x14ac:dyDescent="0.3">
      <c r="A7" s="148" t="e">
        <f t="shared" si="1"/>
        <v>#VALUE!</v>
      </c>
      <c r="B7" s="148">
        <v>1670</v>
      </c>
      <c r="C7" s="148">
        <f t="shared" si="3"/>
        <v>1710</v>
      </c>
      <c r="D7" s="164">
        <v>1.1599999999999999</v>
      </c>
      <c r="F7" s="154"/>
      <c r="G7" s="154"/>
      <c r="H7" s="154"/>
      <c r="I7" s="151" t="e">
        <f t="shared" si="2"/>
        <v>#VALUE!</v>
      </c>
      <c r="J7" s="151" t="e">
        <f t="shared" si="0"/>
        <v>#VALUE!</v>
      </c>
    </row>
    <row r="8" spans="1:10" ht="15.75" hidden="1" thickBot="1" x14ac:dyDescent="0.3">
      <c r="A8" s="148" t="e">
        <f t="shared" si="1"/>
        <v>#VALUE!</v>
      </c>
      <c r="B8" s="148">
        <v>1710</v>
      </c>
      <c r="C8" s="148">
        <f t="shared" si="3"/>
        <v>1751</v>
      </c>
      <c r="D8" s="164">
        <v>1.19</v>
      </c>
      <c r="F8" s="154"/>
      <c r="G8" s="154"/>
      <c r="H8" s="154"/>
      <c r="I8" s="151" t="e">
        <f t="shared" si="2"/>
        <v>#VALUE!</v>
      </c>
      <c r="J8" s="151" t="e">
        <f t="shared" si="0"/>
        <v>#VALUE!</v>
      </c>
    </row>
    <row r="9" spans="1:10" ht="13.5" hidden="1" thickBot="1" x14ac:dyDescent="0.25">
      <c r="A9" s="148" t="e">
        <f t="shared" si="1"/>
        <v>#VALUE!</v>
      </c>
      <c r="B9" s="148">
        <v>1751</v>
      </c>
      <c r="C9" s="148">
        <f t="shared" si="3"/>
        <v>1792</v>
      </c>
      <c r="D9" s="164">
        <v>2.4300000000000002</v>
      </c>
      <c r="I9" s="151" t="e">
        <f t="shared" si="2"/>
        <v>#VALUE!</v>
      </c>
      <c r="J9" s="151" t="e">
        <f t="shared" si="0"/>
        <v>#VALUE!</v>
      </c>
    </row>
    <row r="10" spans="1:10" ht="13.5" hidden="1" thickBot="1" x14ac:dyDescent="0.25">
      <c r="A10" s="148" t="e">
        <f t="shared" si="1"/>
        <v>#VALUE!</v>
      </c>
      <c r="B10" s="148">
        <v>1792</v>
      </c>
      <c r="C10" s="148">
        <f t="shared" si="3"/>
        <v>1833</v>
      </c>
      <c r="D10" s="164">
        <v>2.48</v>
      </c>
      <c r="I10" s="151" t="e">
        <f t="shared" si="2"/>
        <v>#VALUE!</v>
      </c>
      <c r="J10" s="151" t="e">
        <f t="shared" si="0"/>
        <v>#VALUE!</v>
      </c>
    </row>
    <row r="11" spans="1:10" ht="13.5" hidden="1" thickBot="1" x14ac:dyDescent="0.25">
      <c r="A11" s="148" t="e">
        <f t="shared" si="1"/>
        <v>#VALUE!</v>
      </c>
      <c r="B11" s="148">
        <v>1833</v>
      </c>
      <c r="C11" s="148">
        <f t="shared" si="3"/>
        <v>1873</v>
      </c>
      <c r="D11" s="164">
        <v>2.54</v>
      </c>
      <c r="I11" s="151" t="e">
        <f t="shared" si="2"/>
        <v>#VALUE!</v>
      </c>
      <c r="J11" s="151" t="e">
        <f t="shared" si="0"/>
        <v>#VALUE!</v>
      </c>
    </row>
    <row r="12" spans="1:10" ht="13.5" hidden="1" thickBot="1" x14ac:dyDescent="0.25">
      <c r="A12" s="148" t="e">
        <f t="shared" si="1"/>
        <v>#VALUE!</v>
      </c>
      <c r="B12" s="148">
        <v>1873</v>
      </c>
      <c r="C12" s="148">
        <f t="shared" si="3"/>
        <v>1914</v>
      </c>
      <c r="D12" s="164">
        <v>4.8499999999999996</v>
      </c>
      <c r="I12" s="151" t="e">
        <f t="shared" si="2"/>
        <v>#VALUE!</v>
      </c>
      <c r="J12" s="151" t="e">
        <f t="shared" si="0"/>
        <v>#VALUE!</v>
      </c>
    </row>
    <row r="13" spans="1:10" ht="13.5" hidden="1" thickBot="1" x14ac:dyDescent="0.25">
      <c r="A13" s="148" t="e">
        <f t="shared" si="1"/>
        <v>#VALUE!</v>
      </c>
      <c r="B13" s="148">
        <v>1914</v>
      </c>
      <c r="C13" s="148">
        <f t="shared" si="3"/>
        <v>1955</v>
      </c>
      <c r="D13" s="164">
        <v>4.96</v>
      </c>
      <c r="I13" s="151" t="e">
        <f t="shared" si="2"/>
        <v>#VALUE!</v>
      </c>
      <c r="J13" s="151" t="e">
        <f t="shared" si="0"/>
        <v>#VALUE!</v>
      </c>
    </row>
    <row r="14" spans="1:10" ht="13.5" hidden="1" thickBot="1" x14ac:dyDescent="0.25">
      <c r="A14" s="148" t="e">
        <f t="shared" si="1"/>
        <v>#VALUE!</v>
      </c>
      <c r="B14" s="148">
        <v>1955</v>
      </c>
      <c r="C14" s="148">
        <f t="shared" si="3"/>
        <v>1996</v>
      </c>
      <c r="D14" s="164">
        <v>5.0599999999999996</v>
      </c>
      <c r="I14" s="151" t="e">
        <f t="shared" si="2"/>
        <v>#VALUE!</v>
      </c>
      <c r="J14" s="151" t="e">
        <f t="shared" si="0"/>
        <v>#VALUE!</v>
      </c>
    </row>
    <row r="15" spans="1:10" ht="13.5" hidden="1" thickBot="1" x14ac:dyDescent="0.25">
      <c r="A15" s="148" t="e">
        <f t="shared" si="1"/>
        <v>#VALUE!</v>
      </c>
      <c r="B15" s="148">
        <v>1996</v>
      </c>
      <c r="C15" s="148">
        <f t="shared" si="3"/>
        <v>2036</v>
      </c>
      <c r="D15" s="164">
        <v>8.6</v>
      </c>
      <c r="I15" s="151" t="e">
        <f t="shared" si="2"/>
        <v>#VALUE!</v>
      </c>
      <c r="J15" s="151" t="e">
        <f t="shared" si="0"/>
        <v>#VALUE!</v>
      </c>
    </row>
    <row r="16" spans="1:10" ht="13.5" hidden="1" thickBot="1" x14ac:dyDescent="0.25">
      <c r="A16" s="148" t="e">
        <f t="shared" si="1"/>
        <v>#VALUE!</v>
      </c>
      <c r="B16" s="148">
        <v>2036</v>
      </c>
      <c r="C16" s="148">
        <f t="shared" si="3"/>
        <v>2118</v>
      </c>
      <c r="D16" s="164">
        <v>8.89</v>
      </c>
      <c r="I16" s="151" t="e">
        <f t="shared" si="2"/>
        <v>#VALUE!</v>
      </c>
      <c r="J16" s="151" t="e">
        <f t="shared" si="0"/>
        <v>#VALUE!</v>
      </c>
    </row>
    <row r="17" spans="1:10" ht="13.5" hidden="1" thickBot="1" x14ac:dyDescent="0.25">
      <c r="A17" s="148" t="e">
        <f t="shared" si="1"/>
        <v>#VALUE!</v>
      </c>
      <c r="B17" s="148">
        <v>2118</v>
      </c>
      <c r="C17" s="148">
        <f t="shared" si="3"/>
        <v>2199</v>
      </c>
      <c r="D17" s="164">
        <v>14.02</v>
      </c>
      <c r="I17" s="151" t="e">
        <f t="shared" si="2"/>
        <v>#VALUE!</v>
      </c>
      <c r="J17" s="151" t="e">
        <f t="shared" si="0"/>
        <v>#VALUE!</v>
      </c>
    </row>
    <row r="18" spans="1:10" ht="13.5" hidden="1" thickBot="1" x14ac:dyDescent="0.25">
      <c r="A18" s="148" t="e">
        <f t="shared" si="1"/>
        <v>#VALUE!</v>
      </c>
      <c r="B18" s="148">
        <v>2199</v>
      </c>
      <c r="C18" s="148">
        <f t="shared" si="3"/>
        <v>2281</v>
      </c>
      <c r="D18" s="164">
        <v>20.92</v>
      </c>
      <c r="I18" s="151" t="e">
        <f t="shared" si="2"/>
        <v>#VALUE!</v>
      </c>
      <c r="J18" s="151" t="e">
        <f t="shared" si="0"/>
        <v>#VALUE!</v>
      </c>
    </row>
    <row r="19" spans="1:10" ht="13.5" hidden="1" thickBot="1" x14ac:dyDescent="0.25">
      <c r="A19" s="148" t="e">
        <f t="shared" si="1"/>
        <v>#VALUE!</v>
      </c>
      <c r="B19" s="148">
        <v>2281</v>
      </c>
      <c r="C19" s="148">
        <f t="shared" si="3"/>
        <v>2362</v>
      </c>
      <c r="D19" s="164">
        <v>29.98</v>
      </c>
      <c r="I19" s="151" t="e">
        <f t="shared" si="2"/>
        <v>#VALUE!</v>
      </c>
      <c r="J19" s="151" t="e">
        <f t="shared" si="0"/>
        <v>#VALUE!</v>
      </c>
    </row>
    <row r="20" spans="1:10" ht="13.5" hidden="1" thickBot="1" x14ac:dyDescent="0.25">
      <c r="A20" s="148" t="e">
        <f t="shared" si="1"/>
        <v>#VALUE!</v>
      </c>
      <c r="B20" s="148">
        <v>2362</v>
      </c>
      <c r="C20" s="148">
        <f t="shared" si="3"/>
        <v>2443</v>
      </c>
      <c r="D20" s="164">
        <v>39.03</v>
      </c>
      <c r="I20" s="151" t="e">
        <f t="shared" si="2"/>
        <v>#VALUE!</v>
      </c>
      <c r="J20" s="151" t="e">
        <f t="shared" si="0"/>
        <v>#VALUE!</v>
      </c>
    </row>
    <row r="21" spans="1:10" ht="13.5" hidden="1" thickBot="1" x14ac:dyDescent="0.25">
      <c r="A21" s="148" t="e">
        <f t="shared" si="1"/>
        <v>#VALUE!</v>
      </c>
      <c r="B21" s="148">
        <v>2443</v>
      </c>
      <c r="C21" s="148">
        <f t="shared" si="3"/>
        <v>2525</v>
      </c>
      <c r="D21" s="164">
        <v>48.08</v>
      </c>
      <c r="I21" s="151" t="e">
        <f t="shared" si="2"/>
        <v>#VALUE!</v>
      </c>
      <c r="J21" s="151" t="e">
        <f t="shared" si="0"/>
        <v>#VALUE!</v>
      </c>
    </row>
    <row r="22" spans="1:10" ht="13.5" hidden="1" thickBot="1" x14ac:dyDescent="0.25">
      <c r="A22" s="148" t="e">
        <f t="shared" si="1"/>
        <v>#VALUE!</v>
      </c>
      <c r="B22" s="148">
        <v>2525</v>
      </c>
      <c r="C22" s="148">
        <f t="shared" si="3"/>
        <v>2606</v>
      </c>
      <c r="D22" s="164">
        <v>57.14</v>
      </c>
      <c r="I22" s="151" t="e">
        <f t="shared" si="2"/>
        <v>#VALUE!</v>
      </c>
      <c r="J22" s="151" t="e">
        <f t="shared" si="0"/>
        <v>#VALUE!</v>
      </c>
    </row>
    <row r="23" spans="1:10" ht="13.5" hidden="1" thickBot="1" x14ac:dyDescent="0.25">
      <c r="A23" s="148" t="e">
        <f t="shared" si="1"/>
        <v>#VALUE!</v>
      </c>
      <c r="B23" s="148">
        <v>2606</v>
      </c>
      <c r="C23" s="148">
        <f t="shared" si="3"/>
        <v>2688</v>
      </c>
      <c r="D23" s="164">
        <v>66.19</v>
      </c>
      <c r="I23" s="151" t="e">
        <f t="shared" si="2"/>
        <v>#VALUE!</v>
      </c>
      <c r="J23" s="151" t="e">
        <f t="shared" si="0"/>
        <v>#VALUE!</v>
      </c>
    </row>
    <row r="24" spans="1:10" ht="13.5" hidden="1" thickBot="1" x14ac:dyDescent="0.25">
      <c r="A24" s="148" t="e">
        <f t="shared" si="1"/>
        <v>#VALUE!</v>
      </c>
      <c r="B24" s="148">
        <v>2688</v>
      </c>
      <c r="C24" s="148">
        <f t="shared" si="3"/>
        <v>2769</v>
      </c>
      <c r="D24" s="164">
        <v>75.239999999999995</v>
      </c>
      <c r="I24" s="151" t="e">
        <f t="shared" si="2"/>
        <v>#VALUE!</v>
      </c>
      <c r="J24" s="151" t="e">
        <f t="shared" si="0"/>
        <v>#VALUE!</v>
      </c>
    </row>
    <row r="25" spans="1:10" ht="13.5" hidden="1" thickBot="1" x14ac:dyDescent="0.25">
      <c r="A25" s="148" t="e">
        <f t="shared" si="1"/>
        <v>#VALUE!</v>
      </c>
      <c r="B25" s="148">
        <v>2769</v>
      </c>
      <c r="C25" s="148">
        <f t="shared" si="3"/>
        <v>2851</v>
      </c>
      <c r="D25" s="164">
        <v>84.3</v>
      </c>
      <c r="I25" s="151" t="e">
        <f t="shared" si="2"/>
        <v>#VALUE!</v>
      </c>
      <c r="J25" s="151" t="e">
        <f t="shared" si="0"/>
        <v>#VALUE!</v>
      </c>
    </row>
    <row r="26" spans="1:10" ht="13.5" hidden="1" thickBot="1" x14ac:dyDescent="0.25">
      <c r="A26" s="148" t="e">
        <f t="shared" si="1"/>
        <v>#VALUE!</v>
      </c>
      <c r="B26" s="148">
        <v>2851</v>
      </c>
      <c r="C26" s="148">
        <f t="shared" si="3"/>
        <v>2932</v>
      </c>
      <c r="D26" s="164">
        <v>93.35</v>
      </c>
      <c r="I26" s="151" t="e">
        <f t="shared" si="2"/>
        <v>#VALUE!</v>
      </c>
      <c r="J26" s="151" t="e">
        <f t="shared" si="0"/>
        <v>#VALUE!</v>
      </c>
    </row>
    <row r="27" spans="1:10" ht="13.5" hidden="1" thickBot="1" x14ac:dyDescent="0.25">
      <c r="A27" s="148" t="e">
        <f t="shared" si="1"/>
        <v>#VALUE!</v>
      </c>
      <c r="B27" s="148">
        <v>2932</v>
      </c>
      <c r="C27" s="148">
        <f t="shared" si="3"/>
        <v>3014</v>
      </c>
      <c r="D27" s="164">
        <v>102.4</v>
      </c>
      <c r="I27" s="151" t="e">
        <f t="shared" si="2"/>
        <v>#VALUE!</v>
      </c>
      <c r="J27" s="151" t="e">
        <f t="shared" si="0"/>
        <v>#VALUE!</v>
      </c>
    </row>
    <row r="28" spans="1:10" ht="13.5" hidden="1" thickBot="1" x14ac:dyDescent="0.25">
      <c r="A28" s="148" t="e">
        <f t="shared" si="1"/>
        <v>#VALUE!</v>
      </c>
      <c r="B28" s="148">
        <v>3014</v>
      </c>
      <c r="C28" s="148">
        <f t="shared" si="3"/>
        <v>3095</v>
      </c>
      <c r="D28" s="164">
        <v>111.46</v>
      </c>
      <c r="I28" s="151" t="e">
        <f t="shared" si="2"/>
        <v>#VALUE!</v>
      </c>
      <c r="J28" s="151" t="e">
        <f t="shared" si="0"/>
        <v>#VALUE!</v>
      </c>
    </row>
    <row r="29" spans="1:10" ht="13.5" hidden="1" thickBot="1" x14ac:dyDescent="0.25">
      <c r="A29" s="148" t="e">
        <f t="shared" si="1"/>
        <v>#VALUE!</v>
      </c>
      <c r="B29" s="148">
        <v>3095</v>
      </c>
      <c r="C29" s="148">
        <f t="shared" si="3"/>
        <v>3177</v>
      </c>
      <c r="D29" s="164">
        <v>122.79</v>
      </c>
      <c r="I29" s="151" t="e">
        <f t="shared" si="2"/>
        <v>#VALUE!</v>
      </c>
      <c r="J29" s="151" t="e">
        <f t="shared" si="0"/>
        <v>#VALUE!</v>
      </c>
    </row>
    <row r="30" spans="1:10" ht="13.5" hidden="1" thickBot="1" x14ac:dyDescent="0.25">
      <c r="A30" s="148" t="e">
        <f t="shared" si="1"/>
        <v>#VALUE!</v>
      </c>
      <c r="B30" s="148">
        <v>3177</v>
      </c>
      <c r="C30" s="148">
        <f t="shared" si="3"/>
        <v>3258</v>
      </c>
      <c r="D30" s="164">
        <v>136.13</v>
      </c>
      <c r="I30" s="151" t="e">
        <f t="shared" si="2"/>
        <v>#VALUE!</v>
      </c>
      <c r="J30" s="151" t="e">
        <f t="shared" si="0"/>
        <v>#VALUE!</v>
      </c>
    </row>
    <row r="31" spans="1:10" ht="13.5" hidden="1" thickBot="1" x14ac:dyDescent="0.25">
      <c r="A31" s="148" t="e">
        <f t="shared" si="1"/>
        <v>#VALUE!</v>
      </c>
      <c r="B31" s="148">
        <v>3258</v>
      </c>
      <c r="C31" s="148">
        <f t="shared" si="3"/>
        <v>3339</v>
      </c>
      <c r="D31" s="164">
        <v>149.47</v>
      </c>
      <c r="I31" s="151" t="e">
        <f t="shared" si="2"/>
        <v>#VALUE!</v>
      </c>
      <c r="J31" s="151" t="e">
        <f t="shared" si="0"/>
        <v>#VALUE!</v>
      </c>
    </row>
    <row r="32" spans="1:10" ht="13.5" hidden="1" thickBot="1" x14ac:dyDescent="0.25">
      <c r="A32" s="148" t="e">
        <f t="shared" si="1"/>
        <v>#VALUE!</v>
      </c>
      <c r="B32" s="148">
        <v>3339</v>
      </c>
      <c r="C32" s="148">
        <f t="shared" si="3"/>
        <v>3421</v>
      </c>
      <c r="D32" s="164">
        <v>162.82</v>
      </c>
      <c r="I32" s="151" t="e">
        <f t="shared" si="2"/>
        <v>#VALUE!</v>
      </c>
      <c r="J32" s="151" t="e">
        <f t="shared" si="0"/>
        <v>#VALUE!</v>
      </c>
    </row>
    <row r="33" spans="1:10" ht="13.5" hidden="1" thickBot="1" x14ac:dyDescent="0.25">
      <c r="A33" s="148" t="e">
        <f t="shared" si="1"/>
        <v>#VALUE!</v>
      </c>
      <c r="B33" s="148">
        <v>3421</v>
      </c>
      <c r="C33" s="148">
        <f t="shared" si="3"/>
        <v>3502</v>
      </c>
      <c r="D33" s="164">
        <v>176.16</v>
      </c>
      <c r="I33" s="151" t="e">
        <f t="shared" si="2"/>
        <v>#VALUE!</v>
      </c>
      <c r="J33" s="151" t="e">
        <f t="shared" si="0"/>
        <v>#VALUE!</v>
      </c>
    </row>
    <row r="34" spans="1:10" ht="13.5" hidden="1" thickBot="1" x14ac:dyDescent="0.25">
      <c r="A34" s="148" t="e">
        <f t="shared" si="1"/>
        <v>#VALUE!</v>
      </c>
      <c r="B34" s="148">
        <v>3502</v>
      </c>
      <c r="C34" s="148">
        <f t="shared" si="3"/>
        <v>3584</v>
      </c>
      <c r="D34" s="164">
        <v>189.5</v>
      </c>
      <c r="I34" s="151" t="e">
        <f t="shared" si="2"/>
        <v>#VALUE!</v>
      </c>
      <c r="J34" s="151" t="e">
        <f t="shared" si="0"/>
        <v>#VALUE!</v>
      </c>
    </row>
    <row r="35" spans="1:10" ht="13.5" hidden="1" thickBot="1" x14ac:dyDescent="0.25">
      <c r="A35" s="148" t="e">
        <f t="shared" si="1"/>
        <v>#VALUE!</v>
      </c>
      <c r="B35" s="148">
        <v>3584</v>
      </c>
      <c r="C35" s="148">
        <f t="shared" si="3"/>
        <v>3665</v>
      </c>
      <c r="D35" s="164">
        <v>202.84</v>
      </c>
      <c r="I35" s="151" t="e">
        <f t="shared" si="2"/>
        <v>#VALUE!</v>
      </c>
      <c r="J35" s="151" t="e">
        <f t="shared" si="0"/>
        <v>#VALUE!</v>
      </c>
    </row>
    <row r="36" spans="1:10" ht="13.5" hidden="1" thickBot="1" x14ac:dyDescent="0.25">
      <c r="A36" s="148" t="e">
        <f t="shared" si="1"/>
        <v>#VALUE!</v>
      </c>
      <c r="B36" s="148">
        <v>3665</v>
      </c>
      <c r="C36" s="148">
        <f t="shared" si="3"/>
        <v>3747</v>
      </c>
      <c r="D36" s="164">
        <v>216.18</v>
      </c>
      <c r="I36" s="151" t="e">
        <f t="shared" si="2"/>
        <v>#VALUE!</v>
      </c>
      <c r="J36" s="151" t="e">
        <f t="shared" si="0"/>
        <v>#VALUE!</v>
      </c>
    </row>
    <row r="37" spans="1:10" ht="13.5" hidden="1" thickBot="1" x14ac:dyDescent="0.25">
      <c r="A37" s="148" t="e">
        <f t="shared" si="1"/>
        <v>#VALUE!</v>
      </c>
      <c r="B37" s="148">
        <v>3747</v>
      </c>
      <c r="C37" s="148">
        <f t="shared" si="3"/>
        <v>3828</v>
      </c>
      <c r="D37" s="164">
        <v>229.52</v>
      </c>
      <c r="I37" s="151" t="e">
        <f t="shared" si="2"/>
        <v>#VALUE!</v>
      </c>
      <c r="J37" s="151" t="e">
        <f t="shared" si="0"/>
        <v>#VALUE!</v>
      </c>
    </row>
    <row r="38" spans="1:10" ht="13.5" hidden="1" thickBot="1" x14ac:dyDescent="0.25">
      <c r="A38" s="148" t="e">
        <f t="shared" si="1"/>
        <v>#VALUE!</v>
      </c>
      <c r="B38" s="148">
        <v>3828</v>
      </c>
      <c r="C38" s="148">
        <f t="shared" si="3"/>
        <v>3910</v>
      </c>
      <c r="D38" s="164">
        <v>242.86</v>
      </c>
      <c r="I38" s="151" t="e">
        <f t="shared" si="2"/>
        <v>#VALUE!</v>
      </c>
      <c r="J38" s="151" t="e">
        <f t="shared" si="0"/>
        <v>#VALUE!</v>
      </c>
    </row>
    <row r="39" spans="1:10" ht="13.5" hidden="1" thickBot="1" x14ac:dyDescent="0.25">
      <c r="A39" s="148" t="e">
        <f t="shared" si="1"/>
        <v>#VALUE!</v>
      </c>
      <c r="B39" s="148">
        <v>3910</v>
      </c>
      <c r="C39" s="148">
        <f t="shared" si="3"/>
        <v>3991</v>
      </c>
      <c r="D39" s="164">
        <v>256.20999999999998</v>
      </c>
      <c r="I39" s="151" t="e">
        <f t="shared" si="2"/>
        <v>#VALUE!</v>
      </c>
      <c r="J39" s="151" t="e">
        <f t="shared" si="0"/>
        <v>#VALUE!</v>
      </c>
    </row>
    <row r="40" spans="1:10" ht="13.5" hidden="1" thickBot="1" x14ac:dyDescent="0.25">
      <c r="A40" s="148" t="e">
        <f t="shared" si="1"/>
        <v>#VALUE!</v>
      </c>
      <c r="B40" s="148">
        <v>3991</v>
      </c>
      <c r="C40" s="148">
        <f t="shared" si="3"/>
        <v>4072</v>
      </c>
      <c r="D40" s="164">
        <v>269.55</v>
      </c>
      <c r="I40" s="151" t="e">
        <f t="shared" si="2"/>
        <v>#VALUE!</v>
      </c>
      <c r="J40" s="151" t="e">
        <f t="shared" si="0"/>
        <v>#VALUE!</v>
      </c>
    </row>
    <row r="41" spans="1:10" ht="13.5" hidden="1" thickBot="1" x14ac:dyDescent="0.25">
      <c r="A41" s="148" t="e">
        <f t="shared" si="1"/>
        <v>#VALUE!</v>
      </c>
      <c r="B41" s="148">
        <v>4072</v>
      </c>
      <c r="C41" s="148">
        <f t="shared" si="3"/>
        <v>4276</v>
      </c>
      <c r="D41" s="164">
        <v>282.89</v>
      </c>
      <c r="I41" s="151" t="e">
        <f t="shared" si="2"/>
        <v>#VALUE!</v>
      </c>
      <c r="J41" s="151" t="e">
        <f t="shared" si="0"/>
        <v>#VALUE!</v>
      </c>
    </row>
    <row r="42" spans="1:10" ht="13.5" hidden="1" thickBot="1" x14ac:dyDescent="0.25">
      <c r="A42" s="148" t="e">
        <f t="shared" si="1"/>
        <v>#VALUE!</v>
      </c>
      <c r="B42" s="148">
        <v>4276</v>
      </c>
      <c r="C42" s="148">
        <f t="shared" si="3"/>
        <v>4480</v>
      </c>
      <c r="D42" s="164">
        <v>316.24</v>
      </c>
      <c r="I42" s="151" t="e">
        <f t="shared" si="2"/>
        <v>#VALUE!</v>
      </c>
      <c r="J42" s="151" t="e">
        <f t="shared" si="0"/>
        <v>#VALUE!</v>
      </c>
    </row>
    <row r="43" spans="1:10" ht="13.5" hidden="1" thickBot="1" x14ac:dyDescent="0.25">
      <c r="A43" s="148" t="e">
        <f t="shared" si="1"/>
        <v>#VALUE!</v>
      </c>
      <c r="B43" s="148">
        <v>4480</v>
      </c>
      <c r="C43" s="148">
        <f t="shared" si="3"/>
        <v>4683</v>
      </c>
      <c r="D43" s="164">
        <v>349.6</v>
      </c>
      <c r="I43" s="151" t="e">
        <f t="shared" si="2"/>
        <v>#VALUE!</v>
      </c>
      <c r="J43" s="151" t="e">
        <f t="shared" si="0"/>
        <v>#VALUE!</v>
      </c>
    </row>
    <row r="44" spans="1:10" ht="13.5" hidden="1" thickBot="1" x14ac:dyDescent="0.25">
      <c r="A44" s="148" t="e">
        <f t="shared" si="1"/>
        <v>#VALUE!</v>
      </c>
      <c r="B44" s="148">
        <v>4683</v>
      </c>
      <c r="C44" s="164">
        <f>4700-0.01</f>
        <v>4699.99</v>
      </c>
      <c r="D44" s="164">
        <v>382.95</v>
      </c>
      <c r="I44" s="151" t="e">
        <f t="shared" si="2"/>
        <v>#VALUE!</v>
      </c>
      <c r="J44" s="151" t="e">
        <f t="shared" si="0"/>
        <v>#VALUE!</v>
      </c>
    </row>
    <row r="45" spans="1:10" s="305" customFormat="1" ht="12.75" hidden="1" x14ac:dyDescent="0.2">
      <c r="A45" s="302"/>
      <c r="B45" s="303"/>
      <c r="C45" s="302"/>
      <c r="D45" s="304"/>
      <c r="I45" s="306"/>
      <c r="J45" s="306"/>
    </row>
    <row r="46" spans="1:10" s="305" customFormat="1" ht="12.75" hidden="1" x14ac:dyDescent="0.2">
      <c r="A46" s="302"/>
      <c r="B46" s="303"/>
      <c r="C46" s="302"/>
      <c r="D46" s="304"/>
      <c r="I46" s="306"/>
      <c r="J46" s="306"/>
    </row>
    <row r="47" spans="1:10" s="305" customFormat="1" ht="12.75" hidden="1" x14ac:dyDescent="0.2">
      <c r="A47" s="302"/>
      <c r="B47" s="303"/>
      <c r="C47" s="302"/>
      <c r="D47" s="304"/>
      <c r="I47" s="306"/>
      <c r="J47" s="306"/>
    </row>
    <row r="48" spans="1:10" s="305" customFormat="1" ht="12.75" hidden="1" x14ac:dyDescent="0.2">
      <c r="A48" s="302"/>
      <c r="B48" s="303"/>
      <c r="C48" s="302"/>
      <c r="D48" s="304"/>
      <c r="I48" s="306"/>
      <c r="J48" s="306"/>
    </row>
    <row r="49" spans="1:10" s="305" customFormat="1" ht="12.75" hidden="1" x14ac:dyDescent="0.2">
      <c r="A49" s="302"/>
      <c r="B49" s="303"/>
      <c r="C49" s="302"/>
      <c r="D49" s="304"/>
      <c r="I49" s="306"/>
      <c r="J49" s="306"/>
    </row>
    <row r="50" spans="1:10" s="305" customFormat="1" ht="12.75" hidden="1" x14ac:dyDescent="0.2">
      <c r="A50" s="302"/>
      <c r="B50" s="303"/>
      <c r="C50" s="302"/>
      <c r="D50" s="304"/>
      <c r="I50" s="306"/>
      <c r="J50" s="306"/>
    </row>
    <row r="51" spans="1:10" s="305" customFormat="1" ht="12.75" hidden="1" x14ac:dyDescent="0.2">
      <c r="A51" s="302"/>
      <c r="B51" s="303"/>
      <c r="C51" s="302"/>
      <c r="D51" s="304"/>
      <c r="I51" s="306"/>
      <c r="J51" s="306"/>
    </row>
    <row r="52" spans="1:10" s="305" customFormat="1" ht="12.75" hidden="1" x14ac:dyDescent="0.2">
      <c r="A52" s="302"/>
      <c r="B52" s="303"/>
      <c r="C52" s="302"/>
      <c r="D52" s="304"/>
      <c r="I52" s="306"/>
      <c r="J52" s="306"/>
    </row>
    <row r="53" spans="1:10" s="305" customFormat="1" ht="12.75" hidden="1" x14ac:dyDescent="0.2">
      <c r="A53" s="302"/>
      <c r="B53" s="303"/>
      <c r="C53" s="302"/>
      <c r="D53" s="304"/>
      <c r="I53" s="306"/>
      <c r="J53" s="306"/>
    </row>
    <row r="54" spans="1:10" s="305" customFormat="1" ht="12.75" hidden="1" x14ac:dyDescent="0.2">
      <c r="A54" s="302"/>
      <c r="B54" s="303"/>
      <c r="C54" s="302"/>
      <c r="D54" s="304"/>
      <c r="I54" s="306"/>
      <c r="J54" s="306"/>
    </row>
    <row r="55" spans="1:10" s="305" customFormat="1" ht="12.75" hidden="1" x14ac:dyDescent="0.2">
      <c r="A55" s="302"/>
      <c r="B55" s="303"/>
      <c r="C55" s="302"/>
      <c r="D55" s="304"/>
      <c r="I55" s="306"/>
      <c r="J55" s="306"/>
    </row>
    <row r="56" spans="1:10" s="305" customFormat="1" ht="12.75" hidden="1" x14ac:dyDescent="0.2">
      <c r="A56" s="302"/>
      <c r="B56" s="303"/>
      <c r="C56" s="302"/>
      <c r="D56" s="304"/>
      <c r="I56" s="306"/>
      <c r="J56" s="306"/>
    </row>
    <row r="57" spans="1:10" s="305" customFormat="1" ht="12.75" hidden="1" x14ac:dyDescent="0.2">
      <c r="A57" s="302"/>
      <c r="B57" s="303"/>
      <c r="C57" s="302"/>
      <c r="D57" s="304"/>
      <c r="I57" s="306"/>
      <c r="J57" s="306"/>
    </row>
    <row r="58" spans="1:10" s="305" customFormat="1" ht="12.75" hidden="1" x14ac:dyDescent="0.2">
      <c r="A58" s="302"/>
      <c r="B58" s="303"/>
      <c r="C58" s="302"/>
      <c r="D58" s="304"/>
      <c r="I58" s="306"/>
      <c r="J58" s="306"/>
    </row>
    <row r="59" spans="1:10" s="305" customFormat="1" ht="12.75" hidden="1" x14ac:dyDescent="0.2">
      <c r="A59" s="302"/>
      <c r="B59" s="303"/>
      <c r="C59" s="302"/>
      <c r="D59" s="304"/>
      <c r="I59" s="306"/>
      <c r="J59" s="306"/>
    </row>
    <row r="60" spans="1:10" s="305" customFormat="1" ht="12.75" hidden="1" x14ac:dyDescent="0.2">
      <c r="A60" s="302"/>
      <c r="B60" s="303"/>
      <c r="C60" s="302"/>
      <c r="D60" s="304"/>
      <c r="I60" s="306"/>
      <c r="J60" s="306"/>
    </row>
    <row r="61" spans="1:10" s="305" customFormat="1" ht="12.75" hidden="1" x14ac:dyDescent="0.2">
      <c r="A61" s="302"/>
      <c r="B61" s="303"/>
      <c r="C61" s="302"/>
      <c r="D61" s="304"/>
      <c r="I61" s="306"/>
      <c r="J61" s="306"/>
    </row>
    <row r="62" spans="1:10" s="305" customFormat="1" ht="12.75" hidden="1" x14ac:dyDescent="0.2">
      <c r="A62" s="302"/>
      <c r="B62" s="303"/>
      <c r="C62" s="302"/>
      <c r="D62" s="304"/>
      <c r="I62" s="306"/>
      <c r="J62" s="306"/>
    </row>
    <row r="63" spans="1:10" s="305" customFormat="1" ht="12.75" hidden="1" x14ac:dyDescent="0.2">
      <c r="A63" s="302"/>
      <c r="B63" s="303"/>
      <c r="C63" s="302"/>
      <c r="D63" s="304"/>
      <c r="I63" s="306"/>
      <c r="J63" s="306"/>
    </row>
    <row r="64" spans="1:10" s="305" customFormat="1" ht="12.75" hidden="1" x14ac:dyDescent="0.2">
      <c r="A64" s="302"/>
      <c r="B64" s="303"/>
      <c r="C64" s="302"/>
      <c r="D64" s="304"/>
      <c r="I64" s="306"/>
      <c r="J64" s="306"/>
    </row>
    <row r="65" spans="1:10" s="305" customFormat="1" ht="12.75" hidden="1" x14ac:dyDescent="0.2">
      <c r="A65" s="302"/>
      <c r="B65" s="303"/>
      <c r="C65" s="302"/>
      <c r="D65" s="304"/>
      <c r="I65" s="306"/>
      <c r="J65" s="306"/>
    </row>
    <row r="66" spans="1:10" s="305" customFormat="1" ht="12.75" hidden="1" x14ac:dyDescent="0.2">
      <c r="A66" s="302"/>
      <c r="B66" s="303"/>
      <c r="C66" s="302"/>
      <c r="D66" s="304"/>
      <c r="I66" s="306"/>
      <c r="J66" s="306"/>
    </row>
    <row r="67" spans="1:10" s="305" customFormat="1" ht="12.75" hidden="1" x14ac:dyDescent="0.2">
      <c r="A67" s="302"/>
      <c r="B67" s="303"/>
      <c r="C67" s="302"/>
      <c r="D67" s="304"/>
      <c r="I67" s="306"/>
      <c r="J67" s="306"/>
    </row>
    <row r="68" spans="1:10" s="305" customFormat="1" ht="12.75" hidden="1" x14ac:dyDescent="0.2">
      <c r="A68" s="302"/>
      <c r="B68" s="303"/>
      <c r="C68" s="302"/>
      <c r="D68" s="304"/>
      <c r="I68" s="306"/>
      <c r="J68" s="306"/>
    </row>
    <row r="69" spans="1:10" s="305" customFormat="1" ht="12.75" hidden="1" x14ac:dyDescent="0.2">
      <c r="A69" s="302"/>
      <c r="B69" s="303"/>
      <c r="C69" s="302"/>
      <c r="D69" s="304"/>
      <c r="I69" s="306"/>
      <c r="J69" s="306"/>
    </row>
    <row r="70" spans="1:10" s="305" customFormat="1" ht="12.75" hidden="1" x14ac:dyDescent="0.2">
      <c r="A70" s="302"/>
      <c r="B70" s="303"/>
      <c r="C70" s="302"/>
      <c r="D70" s="304"/>
      <c r="I70" s="306"/>
      <c r="J70" s="306"/>
    </row>
    <row r="71" spans="1:10" s="305" customFormat="1" ht="12.75" hidden="1" x14ac:dyDescent="0.2">
      <c r="A71" s="302"/>
      <c r="B71" s="303"/>
      <c r="C71" s="302"/>
      <c r="D71" s="304"/>
      <c r="I71" s="306"/>
      <c r="J71" s="306"/>
    </row>
    <row r="72" spans="1:10" s="305" customFormat="1" ht="12.75" hidden="1" x14ac:dyDescent="0.2">
      <c r="A72" s="302"/>
      <c r="B72" s="303"/>
      <c r="C72" s="302"/>
      <c r="D72" s="304"/>
      <c r="I72" s="306"/>
      <c r="J72" s="306"/>
    </row>
    <row r="73" spans="1:10" s="305" customFormat="1" ht="12.75" hidden="1" x14ac:dyDescent="0.2">
      <c r="A73" s="302"/>
      <c r="B73" s="303"/>
      <c r="C73" s="302"/>
      <c r="D73" s="304"/>
      <c r="I73" s="306"/>
      <c r="J73" s="306"/>
    </row>
    <row r="74" spans="1:10" s="305" customFormat="1" ht="12.75" hidden="1" x14ac:dyDescent="0.2">
      <c r="A74" s="302"/>
      <c r="B74" s="303"/>
      <c r="C74" s="302"/>
      <c r="D74" s="304"/>
      <c r="I74" s="306"/>
      <c r="J74" s="306"/>
    </row>
    <row r="75" spans="1:10" s="305" customFormat="1" ht="12.75" hidden="1" x14ac:dyDescent="0.2">
      <c r="A75" s="302"/>
      <c r="B75" s="303"/>
      <c r="C75" s="302"/>
      <c r="D75" s="304"/>
      <c r="I75" s="306"/>
      <c r="J75" s="306"/>
    </row>
    <row r="76" spans="1:10" s="305" customFormat="1" ht="12.75" hidden="1" x14ac:dyDescent="0.2">
      <c r="A76" s="302"/>
      <c r="B76" s="303"/>
      <c r="C76" s="302"/>
      <c r="D76" s="304"/>
      <c r="I76" s="306"/>
      <c r="J76" s="306"/>
    </row>
    <row r="77" spans="1:10" s="305" customFormat="1" ht="12.75" hidden="1" x14ac:dyDescent="0.2">
      <c r="A77" s="302"/>
      <c r="B77" s="303"/>
      <c r="C77" s="302"/>
      <c r="D77" s="304"/>
      <c r="I77" s="306"/>
      <c r="J77" s="306"/>
    </row>
    <row r="78" spans="1:10" s="305" customFormat="1" ht="12.75" hidden="1" x14ac:dyDescent="0.2">
      <c r="A78" s="302"/>
      <c r="B78" s="303"/>
      <c r="C78" s="302"/>
      <c r="D78" s="304"/>
      <c r="I78" s="306"/>
      <c r="J78" s="306"/>
    </row>
    <row r="79" spans="1:10" s="305" customFormat="1" ht="12.75" hidden="1" x14ac:dyDescent="0.2">
      <c r="A79" s="302"/>
      <c r="B79" s="303"/>
      <c r="C79" s="302"/>
      <c r="D79" s="304"/>
      <c r="I79" s="306"/>
      <c r="J79" s="306"/>
    </row>
    <row r="80" spans="1:10" s="305" customFormat="1" ht="12.75" hidden="1" x14ac:dyDescent="0.2">
      <c r="A80" s="302"/>
      <c r="B80" s="303"/>
      <c r="C80" s="302"/>
      <c r="D80" s="304"/>
      <c r="I80" s="306"/>
      <c r="J80" s="306"/>
    </row>
    <row r="81" spans="1:10" s="305" customFormat="1" ht="12.75" hidden="1" x14ac:dyDescent="0.2">
      <c r="A81" s="302"/>
      <c r="B81" s="303"/>
      <c r="C81" s="302"/>
      <c r="D81" s="304"/>
      <c r="I81" s="306"/>
      <c r="J81" s="306"/>
    </row>
    <row r="82" spans="1:10" s="305" customFormat="1" ht="12.75" hidden="1" x14ac:dyDescent="0.2">
      <c r="A82" s="302"/>
      <c r="B82" s="303"/>
      <c r="C82" s="302"/>
      <c r="D82" s="304"/>
      <c r="I82" s="306"/>
      <c r="J82" s="306"/>
    </row>
    <row r="83" spans="1:10" s="305" customFormat="1" ht="12.75" x14ac:dyDescent="0.2">
      <c r="A83" s="302"/>
      <c r="B83" s="303"/>
      <c r="C83" s="302"/>
      <c r="D83" s="304"/>
      <c r="I83" s="306"/>
      <c r="J83" s="306"/>
    </row>
    <row r="84" spans="1:10" s="305" customFormat="1" ht="12.75" x14ac:dyDescent="0.2">
      <c r="A84" s="302"/>
      <c r="B84" s="303"/>
      <c r="C84" s="302"/>
      <c r="D84" s="304"/>
      <c r="I84" s="306"/>
      <c r="J84" s="306"/>
    </row>
    <row r="85" spans="1:10" s="305" customFormat="1" ht="12.75" x14ac:dyDescent="0.2">
      <c r="A85" s="302"/>
      <c r="B85" s="303"/>
      <c r="C85" s="302"/>
      <c r="D85" s="304"/>
      <c r="I85" s="306"/>
      <c r="J85" s="306"/>
    </row>
    <row r="86" spans="1:10" s="305" customFormat="1" ht="12.75" x14ac:dyDescent="0.2">
      <c r="A86" s="302"/>
      <c r="B86" s="303"/>
      <c r="C86" s="302"/>
      <c r="D86" s="304"/>
      <c r="I86" s="306"/>
      <c r="J86" s="306"/>
    </row>
    <row r="87" spans="1:10" s="305" customFormat="1" ht="12.75" x14ac:dyDescent="0.2">
      <c r="A87" s="302"/>
      <c r="B87" s="303"/>
      <c r="C87" s="302"/>
      <c r="D87" s="304"/>
      <c r="I87" s="306"/>
      <c r="J87" s="306"/>
    </row>
  </sheetData>
  <sheetProtection password="BE45" sheet="1" objects="1" scenarios="1" selectLockedCells="1" selectUnlockedCell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L90"/>
  <sheetViews>
    <sheetView topLeftCell="A91" workbookViewId="0">
      <selection sqref="A1:IV90"/>
    </sheetView>
  </sheetViews>
  <sheetFormatPr baseColWidth="10" defaultColWidth="18" defaultRowHeight="12" x14ac:dyDescent="0.2"/>
  <cols>
    <col min="1" max="1" width="9.7109375" style="142" bestFit="1" customWidth="1"/>
    <col min="2" max="4" width="18" style="142" customWidth="1"/>
    <col min="5" max="5" width="1.5703125" style="142" customWidth="1"/>
    <col min="6" max="16384" width="18" style="142"/>
  </cols>
  <sheetData>
    <row r="1" spans="1:12" ht="13.5" hidden="1" thickBot="1" x14ac:dyDescent="0.25">
      <c r="A1" s="138" t="s">
        <v>70</v>
      </c>
      <c r="B1" s="139"/>
      <c r="C1" s="140"/>
      <c r="D1" s="141"/>
      <c r="F1" s="143" t="s">
        <v>95</v>
      </c>
      <c r="G1" s="143" t="s">
        <v>72</v>
      </c>
      <c r="H1" s="143" t="s">
        <v>73</v>
      </c>
      <c r="I1" s="143" t="s">
        <v>74</v>
      </c>
      <c r="J1" s="143" t="s">
        <v>75</v>
      </c>
    </row>
    <row r="2" spans="1:12" ht="24.75" hidden="1" thickBot="1" x14ac:dyDescent="0.3">
      <c r="A2" s="144" t="s">
        <v>76</v>
      </c>
      <c r="B2" s="144" t="s">
        <v>77</v>
      </c>
      <c r="C2" s="144" t="s">
        <v>78</v>
      </c>
      <c r="D2" s="144" t="s">
        <v>79</v>
      </c>
      <c r="F2" s="145">
        <f>IF(H3&gt;B88,0,VLOOKUP(G2,A:D,4,FALSE))</f>
        <v>0</v>
      </c>
      <c r="G2" s="146">
        <v>0</v>
      </c>
      <c r="H2" s="147">
        <f>+'Ret.Fte.Sistema IMAN'!E59</f>
        <v>0</v>
      </c>
      <c r="K2" s="169"/>
      <c r="L2" s="169"/>
    </row>
    <row r="3" spans="1:12" ht="15.75" hidden="1" thickBot="1" x14ac:dyDescent="0.3">
      <c r="A3" s="148">
        <f>+I3-J3</f>
        <v>0</v>
      </c>
      <c r="B3" s="148">
        <v>0</v>
      </c>
      <c r="C3" s="164">
        <f>+B4-0.01</f>
        <v>128.95000000000002</v>
      </c>
      <c r="D3" s="165">
        <v>0</v>
      </c>
      <c r="F3" s="453">
        <f>IF(H3&gt;B88,D88,0)</f>
        <v>0</v>
      </c>
      <c r="G3" s="150"/>
      <c r="H3" s="145">
        <f>+H2/'Cálculo % Fijo de Ret.Fte.'!G16</f>
        <v>0</v>
      </c>
      <c r="I3" s="151">
        <f>IF($H$3&gt;=B3,$H$3,0)</f>
        <v>0</v>
      </c>
      <c r="J3" s="151">
        <f t="shared" ref="J3:J66" si="0">IF($H$3&lt;=C3,$H$3,0)</f>
        <v>0</v>
      </c>
      <c r="K3" s="169"/>
      <c r="L3" s="169"/>
    </row>
    <row r="4" spans="1:12" ht="15.75" hidden="1" thickBot="1" x14ac:dyDescent="0.3">
      <c r="A4" s="148">
        <f t="shared" ref="A4:A67" si="1">+I4-J4</f>
        <v>0</v>
      </c>
      <c r="B4" s="161">
        <v>128.96</v>
      </c>
      <c r="C4" s="164">
        <f t="shared" ref="C4:C67" si="2">+B5-0.01</f>
        <v>132.35000000000002</v>
      </c>
      <c r="D4" s="165">
        <v>0.09</v>
      </c>
      <c r="F4" s="153"/>
      <c r="G4" s="153"/>
      <c r="H4" s="153"/>
      <c r="I4" s="151">
        <f t="shared" ref="I4:I67" si="3">IF($H$3&gt;=B4,$H$3,0)</f>
        <v>0</v>
      </c>
      <c r="J4" s="151">
        <f t="shared" si="0"/>
        <v>0</v>
      </c>
      <c r="K4" s="169"/>
      <c r="L4" s="169"/>
    </row>
    <row r="5" spans="1:12" ht="15.75" hidden="1" thickBot="1" x14ac:dyDescent="0.3">
      <c r="A5" s="148">
        <f t="shared" si="1"/>
        <v>0</v>
      </c>
      <c r="B5" s="161">
        <v>132.36000000000001</v>
      </c>
      <c r="C5" s="164">
        <f t="shared" si="2"/>
        <v>135.74</v>
      </c>
      <c r="D5" s="165">
        <v>0.09</v>
      </c>
      <c r="F5" s="154"/>
      <c r="G5" s="154"/>
      <c r="H5" s="154"/>
      <c r="I5" s="151">
        <f t="shared" si="3"/>
        <v>0</v>
      </c>
      <c r="J5" s="151">
        <f t="shared" si="0"/>
        <v>0</v>
      </c>
      <c r="K5" s="169"/>
      <c r="L5" s="169"/>
    </row>
    <row r="6" spans="1:12" ht="15.75" hidden="1" thickBot="1" x14ac:dyDescent="0.3">
      <c r="A6" s="148">
        <f t="shared" si="1"/>
        <v>0</v>
      </c>
      <c r="B6" s="161">
        <v>135.75</v>
      </c>
      <c r="C6" s="164">
        <f t="shared" si="2"/>
        <v>139.13</v>
      </c>
      <c r="D6" s="165">
        <v>0.09</v>
      </c>
      <c r="F6" s="154"/>
      <c r="G6" s="154"/>
      <c r="H6" s="154"/>
      <c r="I6" s="151">
        <f t="shared" si="3"/>
        <v>0</v>
      </c>
      <c r="J6" s="151">
        <f t="shared" si="0"/>
        <v>0</v>
      </c>
      <c r="K6" s="169"/>
      <c r="L6" s="169"/>
    </row>
    <row r="7" spans="1:12" ht="15.75" hidden="1" thickBot="1" x14ac:dyDescent="0.3">
      <c r="A7" s="148">
        <f t="shared" si="1"/>
        <v>0</v>
      </c>
      <c r="B7" s="161">
        <v>139.13999999999999</v>
      </c>
      <c r="C7" s="164">
        <f t="shared" si="2"/>
        <v>142.53</v>
      </c>
      <c r="D7" s="165">
        <v>0.09</v>
      </c>
      <c r="F7" s="154"/>
      <c r="G7" s="154"/>
      <c r="H7" s="154"/>
      <c r="I7" s="151">
        <f t="shared" si="3"/>
        <v>0</v>
      </c>
      <c r="J7" s="151">
        <f t="shared" si="0"/>
        <v>0</v>
      </c>
      <c r="K7" s="169"/>
      <c r="L7" s="169"/>
    </row>
    <row r="8" spans="1:12" ht="15.75" hidden="1" thickBot="1" x14ac:dyDescent="0.3">
      <c r="A8" s="148">
        <f t="shared" si="1"/>
        <v>0</v>
      </c>
      <c r="B8" s="161">
        <v>142.54</v>
      </c>
      <c r="C8" s="164">
        <f t="shared" si="2"/>
        <v>145.92000000000002</v>
      </c>
      <c r="D8" s="165">
        <v>0.1</v>
      </c>
      <c r="F8" s="154"/>
      <c r="G8" s="154"/>
      <c r="H8" s="154"/>
      <c r="I8" s="151">
        <f t="shared" si="3"/>
        <v>0</v>
      </c>
      <c r="J8" s="151">
        <f t="shared" si="0"/>
        <v>0</v>
      </c>
      <c r="K8" s="169"/>
      <c r="L8" s="169"/>
    </row>
    <row r="9" spans="1:12" ht="15.75" hidden="1" thickBot="1" x14ac:dyDescent="0.25">
      <c r="A9" s="148">
        <f t="shared" si="1"/>
        <v>0</v>
      </c>
      <c r="B9" s="161">
        <v>145.93</v>
      </c>
      <c r="C9" s="164">
        <f t="shared" si="2"/>
        <v>149.31</v>
      </c>
      <c r="D9" s="165">
        <v>0.2</v>
      </c>
      <c r="I9" s="151">
        <f t="shared" si="3"/>
        <v>0</v>
      </c>
      <c r="J9" s="151">
        <f t="shared" si="0"/>
        <v>0</v>
      </c>
      <c r="K9" s="169"/>
      <c r="L9" s="169"/>
    </row>
    <row r="10" spans="1:12" ht="15.75" hidden="1" thickBot="1" x14ac:dyDescent="0.25">
      <c r="A10" s="148">
        <f t="shared" si="1"/>
        <v>0</v>
      </c>
      <c r="B10" s="161">
        <v>149.32</v>
      </c>
      <c r="C10" s="164">
        <f t="shared" si="2"/>
        <v>152.71</v>
      </c>
      <c r="D10" s="165">
        <v>0.2</v>
      </c>
      <c r="I10" s="151">
        <f t="shared" si="3"/>
        <v>0</v>
      </c>
      <c r="J10" s="151">
        <f t="shared" si="0"/>
        <v>0</v>
      </c>
      <c r="K10" s="169"/>
      <c r="L10" s="169"/>
    </row>
    <row r="11" spans="1:12" ht="15.75" hidden="1" thickBot="1" x14ac:dyDescent="0.25">
      <c r="A11" s="148">
        <f t="shared" si="1"/>
        <v>0</v>
      </c>
      <c r="B11" s="161">
        <v>152.72</v>
      </c>
      <c r="C11" s="164">
        <f t="shared" si="2"/>
        <v>156.10000000000002</v>
      </c>
      <c r="D11" s="165">
        <v>0.21</v>
      </c>
      <c r="I11" s="151">
        <f t="shared" si="3"/>
        <v>0</v>
      </c>
      <c r="J11" s="151">
        <f t="shared" si="0"/>
        <v>0</v>
      </c>
      <c r="K11" s="169"/>
      <c r="L11" s="169"/>
    </row>
    <row r="12" spans="1:12" ht="15.75" hidden="1" thickBot="1" x14ac:dyDescent="0.25">
      <c r="A12" s="148">
        <f t="shared" si="1"/>
        <v>0</v>
      </c>
      <c r="B12" s="161">
        <v>156.11000000000001</v>
      </c>
      <c r="C12" s="164">
        <f t="shared" si="2"/>
        <v>159.5</v>
      </c>
      <c r="D12" s="165">
        <v>0.4</v>
      </c>
      <c r="I12" s="151">
        <f t="shared" si="3"/>
        <v>0</v>
      </c>
      <c r="J12" s="151">
        <f t="shared" si="0"/>
        <v>0</v>
      </c>
      <c r="K12" s="169"/>
      <c r="L12" s="169"/>
    </row>
    <row r="13" spans="1:12" ht="15.75" hidden="1" thickBot="1" x14ac:dyDescent="0.25">
      <c r="A13" s="148">
        <f t="shared" si="1"/>
        <v>0</v>
      </c>
      <c r="B13" s="161">
        <v>159.51</v>
      </c>
      <c r="C13" s="164">
        <f t="shared" si="2"/>
        <v>162.89000000000001</v>
      </c>
      <c r="D13" s="165">
        <v>0.41</v>
      </c>
      <c r="I13" s="151">
        <f t="shared" si="3"/>
        <v>0</v>
      </c>
      <c r="J13" s="151">
        <f t="shared" si="0"/>
        <v>0</v>
      </c>
      <c r="K13" s="169"/>
      <c r="L13" s="169"/>
    </row>
    <row r="14" spans="1:12" ht="15.75" hidden="1" thickBot="1" x14ac:dyDescent="0.25">
      <c r="A14" s="148">
        <f t="shared" si="1"/>
        <v>0</v>
      </c>
      <c r="B14" s="161">
        <v>162.9</v>
      </c>
      <c r="C14" s="164">
        <f t="shared" si="2"/>
        <v>166.28</v>
      </c>
      <c r="D14" s="165">
        <v>0.41</v>
      </c>
      <c r="I14" s="151">
        <f t="shared" si="3"/>
        <v>0</v>
      </c>
      <c r="J14" s="151">
        <f t="shared" si="0"/>
        <v>0</v>
      </c>
      <c r="K14" s="169"/>
      <c r="L14" s="169"/>
    </row>
    <row r="15" spans="1:12" ht="15.75" hidden="1" thickBot="1" x14ac:dyDescent="0.25">
      <c r="A15" s="148">
        <f t="shared" si="1"/>
        <v>0</v>
      </c>
      <c r="B15" s="161">
        <v>166.29</v>
      </c>
      <c r="C15" s="164">
        <f t="shared" si="2"/>
        <v>169.68</v>
      </c>
      <c r="D15" s="165">
        <v>0.7</v>
      </c>
      <c r="I15" s="151">
        <f t="shared" si="3"/>
        <v>0</v>
      </c>
      <c r="J15" s="151">
        <f t="shared" si="0"/>
        <v>0</v>
      </c>
      <c r="K15" s="169"/>
      <c r="L15" s="169"/>
    </row>
    <row r="16" spans="1:12" ht="15.75" hidden="1" thickBot="1" x14ac:dyDescent="0.25">
      <c r="A16" s="148">
        <f t="shared" si="1"/>
        <v>0</v>
      </c>
      <c r="B16" s="161">
        <v>169.69</v>
      </c>
      <c r="C16" s="164">
        <f t="shared" si="2"/>
        <v>176.46</v>
      </c>
      <c r="D16" s="165">
        <v>0.73</v>
      </c>
      <c r="I16" s="151">
        <f t="shared" si="3"/>
        <v>0</v>
      </c>
      <c r="J16" s="151">
        <f t="shared" si="0"/>
        <v>0</v>
      </c>
      <c r="K16" s="169"/>
      <c r="L16" s="169"/>
    </row>
    <row r="17" spans="1:12" ht="15.75" hidden="1" thickBot="1" x14ac:dyDescent="0.25">
      <c r="A17" s="148">
        <f t="shared" si="1"/>
        <v>0</v>
      </c>
      <c r="B17" s="161">
        <v>176.47</v>
      </c>
      <c r="C17" s="164">
        <f t="shared" si="2"/>
        <v>183.25</v>
      </c>
      <c r="D17" s="165">
        <v>1.1499999999999999</v>
      </c>
      <c r="I17" s="151">
        <f t="shared" si="3"/>
        <v>0</v>
      </c>
      <c r="J17" s="151">
        <f t="shared" si="0"/>
        <v>0</v>
      </c>
      <c r="K17" s="169"/>
      <c r="L17" s="169"/>
    </row>
    <row r="18" spans="1:12" ht="15.75" hidden="1" thickBot="1" x14ac:dyDescent="0.25">
      <c r="A18" s="148">
        <f t="shared" si="1"/>
        <v>0</v>
      </c>
      <c r="B18" s="161">
        <v>183.26</v>
      </c>
      <c r="C18" s="164">
        <f t="shared" si="2"/>
        <v>190.04000000000002</v>
      </c>
      <c r="D18" s="165">
        <v>1.19</v>
      </c>
      <c r="I18" s="151">
        <f t="shared" si="3"/>
        <v>0</v>
      </c>
      <c r="J18" s="151">
        <f t="shared" si="0"/>
        <v>0</v>
      </c>
      <c r="K18" s="169"/>
      <c r="L18" s="169"/>
    </row>
    <row r="19" spans="1:12" ht="15.75" hidden="1" thickBot="1" x14ac:dyDescent="0.25">
      <c r="A19" s="148">
        <f t="shared" si="1"/>
        <v>0</v>
      </c>
      <c r="B19" s="161">
        <v>190.05</v>
      </c>
      <c r="C19" s="164">
        <f t="shared" si="2"/>
        <v>196.83</v>
      </c>
      <c r="D19" s="165">
        <v>1.65</v>
      </c>
      <c r="I19" s="151">
        <f t="shared" si="3"/>
        <v>0</v>
      </c>
      <c r="J19" s="151">
        <f t="shared" si="0"/>
        <v>0</v>
      </c>
      <c r="K19" s="169"/>
      <c r="L19" s="169"/>
    </row>
    <row r="20" spans="1:12" ht="15.75" hidden="1" thickBot="1" x14ac:dyDescent="0.25">
      <c r="A20" s="148">
        <f t="shared" si="1"/>
        <v>0</v>
      </c>
      <c r="B20" s="161">
        <v>196.84</v>
      </c>
      <c r="C20" s="164">
        <f t="shared" si="2"/>
        <v>203.61</v>
      </c>
      <c r="D20" s="165">
        <v>2.14</v>
      </c>
      <c r="I20" s="151">
        <f t="shared" si="3"/>
        <v>0</v>
      </c>
      <c r="J20" s="151">
        <f t="shared" si="0"/>
        <v>0</v>
      </c>
      <c r="K20" s="169"/>
      <c r="L20" s="169"/>
    </row>
    <row r="21" spans="1:12" ht="15.75" hidden="1" thickBot="1" x14ac:dyDescent="0.25">
      <c r="A21" s="148">
        <f t="shared" si="1"/>
        <v>0</v>
      </c>
      <c r="B21" s="161">
        <v>203.62</v>
      </c>
      <c r="C21" s="164">
        <f t="shared" si="2"/>
        <v>210.4</v>
      </c>
      <c r="D21" s="165">
        <v>2.21</v>
      </c>
      <c r="I21" s="151">
        <f t="shared" si="3"/>
        <v>0</v>
      </c>
      <c r="J21" s="151">
        <f t="shared" si="0"/>
        <v>0</v>
      </c>
      <c r="K21" s="169"/>
      <c r="L21" s="169"/>
    </row>
    <row r="22" spans="1:12" ht="15.75" hidden="1" thickBot="1" x14ac:dyDescent="0.25">
      <c r="A22" s="148">
        <f t="shared" si="1"/>
        <v>0</v>
      </c>
      <c r="B22" s="161">
        <v>210.41</v>
      </c>
      <c r="C22" s="164">
        <f t="shared" si="2"/>
        <v>217.19</v>
      </c>
      <c r="D22" s="165">
        <v>2.96</v>
      </c>
      <c r="I22" s="151">
        <f t="shared" si="3"/>
        <v>0</v>
      </c>
      <c r="J22" s="151">
        <f t="shared" si="0"/>
        <v>0</v>
      </c>
      <c r="K22" s="169"/>
      <c r="L22" s="169"/>
    </row>
    <row r="23" spans="1:12" ht="15.75" hidden="1" thickBot="1" x14ac:dyDescent="0.25">
      <c r="A23" s="148">
        <f t="shared" si="1"/>
        <v>0</v>
      </c>
      <c r="B23" s="161">
        <v>217.2</v>
      </c>
      <c r="C23" s="164">
        <f t="shared" si="2"/>
        <v>223.98000000000002</v>
      </c>
      <c r="D23" s="165">
        <v>3.75</v>
      </c>
      <c r="I23" s="151">
        <f t="shared" si="3"/>
        <v>0</v>
      </c>
      <c r="J23" s="151">
        <f t="shared" si="0"/>
        <v>0</v>
      </c>
      <c r="K23" s="169"/>
      <c r="L23" s="169"/>
    </row>
    <row r="24" spans="1:12" ht="15.75" hidden="1" thickBot="1" x14ac:dyDescent="0.25">
      <c r="A24" s="148">
        <f t="shared" si="1"/>
        <v>0</v>
      </c>
      <c r="B24" s="161">
        <v>223.99</v>
      </c>
      <c r="C24" s="164">
        <f t="shared" si="2"/>
        <v>230.76000000000002</v>
      </c>
      <c r="D24" s="165">
        <v>3.87</v>
      </c>
      <c r="I24" s="151">
        <f t="shared" si="3"/>
        <v>0</v>
      </c>
      <c r="J24" s="151">
        <f t="shared" si="0"/>
        <v>0</v>
      </c>
      <c r="K24" s="169"/>
      <c r="L24" s="169"/>
    </row>
    <row r="25" spans="1:12" ht="15.75" hidden="1" thickBot="1" x14ac:dyDescent="0.25">
      <c r="A25" s="148">
        <f t="shared" si="1"/>
        <v>0</v>
      </c>
      <c r="B25" s="161">
        <v>230.77</v>
      </c>
      <c r="C25" s="164">
        <f t="shared" si="2"/>
        <v>237.55</v>
      </c>
      <c r="D25" s="165">
        <v>4.63</v>
      </c>
      <c r="I25" s="151">
        <f t="shared" si="3"/>
        <v>0</v>
      </c>
      <c r="J25" s="151">
        <f t="shared" si="0"/>
        <v>0</v>
      </c>
      <c r="K25" s="169"/>
      <c r="L25" s="169"/>
    </row>
    <row r="26" spans="1:12" ht="15.75" hidden="1" thickBot="1" x14ac:dyDescent="0.25">
      <c r="A26" s="148">
        <f t="shared" si="1"/>
        <v>0</v>
      </c>
      <c r="B26" s="161">
        <v>237.56</v>
      </c>
      <c r="C26" s="164">
        <f t="shared" si="2"/>
        <v>244.34</v>
      </c>
      <c r="D26" s="165">
        <v>5.0599999999999996</v>
      </c>
      <c r="I26" s="151">
        <f t="shared" si="3"/>
        <v>0</v>
      </c>
      <c r="J26" s="151">
        <f t="shared" si="0"/>
        <v>0</v>
      </c>
      <c r="K26" s="169"/>
      <c r="L26" s="169"/>
    </row>
    <row r="27" spans="1:12" ht="15.75" hidden="1" thickBot="1" x14ac:dyDescent="0.25">
      <c r="A27" s="148">
        <f t="shared" si="1"/>
        <v>0</v>
      </c>
      <c r="B27" s="161">
        <v>244.35</v>
      </c>
      <c r="C27" s="164">
        <f t="shared" si="2"/>
        <v>251.13</v>
      </c>
      <c r="D27" s="165">
        <v>5.5</v>
      </c>
      <c r="I27" s="151">
        <f t="shared" si="3"/>
        <v>0</v>
      </c>
      <c r="J27" s="151">
        <f t="shared" si="0"/>
        <v>0</v>
      </c>
      <c r="K27" s="169"/>
      <c r="L27" s="169"/>
    </row>
    <row r="28" spans="1:12" ht="15.75" hidden="1" thickBot="1" x14ac:dyDescent="0.25">
      <c r="A28" s="148">
        <f t="shared" si="1"/>
        <v>0</v>
      </c>
      <c r="B28" s="161">
        <v>251.14</v>
      </c>
      <c r="C28" s="164">
        <f t="shared" si="2"/>
        <v>257.91000000000003</v>
      </c>
      <c r="D28" s="165">
        <v>5.96</v>
      </c>
      <c r="I28" s="151">
        <f t="shared" si="3"/>
        <v>0</v>
      </c>
      <c r="J28" s="151">
        <f t="shared" si="0"/>
        <v>0</v>
      </c>
      <c r="K28" s="169"/>
      <c r="L28" s="169"/>
    </row>
    <row r="29" spans="1:12" ht="15.75" hidden="1" thickBot="1" x14ac:dyDescent="0.25">
      <c r="A29" s="148">
        <f t="shared" si="1"/>
        <v>0</v>
      </c>
      <c r="B29" s="161">
        <v>257.92</v>
      </c>
      <c r="C29" s="164">
        <f t="shared" si="2"/>
        <v>264.7</v>
      </c>
      <c r="D29" s="165">
        <v>6.44</v>
      </c>
      <c r="I29" s="151">
        <f t="shared" si="3"/>
        <v>0</v>
      </c>
      <c r="J29" s="151">
        <f t="shared" si="0"/>
        <v>0</v>
      </c>
      <c r="K29" s="169"/>
      <c r="L29" s="169"/>
    </row>
    <row r="30" spans="1:12" ht="15.75" hidden="1" thickBot="1" x14ac:dyDescent="0.25">
      <c r="A30" s="148">
        <f t="shared" si="1"/>
        <v>0</v>
      </c>
      <c r="B30" s="161">
        <v>264.70999999999998</v>
      </c>
      <c r="C30" s="164">
        <f t="shared" si="2"/>
        <v>271.49</v>
      </c>
      <c r="D30" s="165">
        <v>6.93</v>
      </c>
      <c r="I30" s="151">
        <f t="shared" si="3"/>
        <v>0</v>
      </c>
      <c r="J30" s="151">
        <f t="shared" si="0"/>
        <v>0</v>
      </c>
      <c r="K30" s="169"/>
      <c r="L30" s="169"/>
    </row>
    <row r="31" spans="1:12" ht="15.75" hidden="1" thickBot="1" x14ac:dyDescent="0.25">
      <c r="A31" s="148">
        <f t="shared" si="1"/>
        <v>0</v>
      </c>
      <c r="B31" s="162">
        <v>271.5</v>
      </c>
      <c r="C31" s="164">
        <f t="shared" si="2"/>
        <v>278.28000000000003</v>
      </c>
      <c r="D31" s="166">
        <v>7.44</v>
      </c>
      <c r="I31" s="151">
        <f t="shared" si="3"/>
        <v>0</v>
      </c>
      <c r="J31" s="151">
        <f t="shared" si="0"/>
        <v>0</v>
      </c>
      <c r="K31" s="169"/>
      <c r="L31" s="169"/>
    </row>
    <row r="32" spans="1:12" ht="15.75" hidden="1" thickBot="1" x14ac:dyDescent="0.25">
      <c r="A32" s="148">
        <f t="shared" si="1"/>
        <v>0</v>
      </c>
      <c r="B32" s="160">
        <v>278.29000000000002</v>
      </c>
      <c r="C32" s="164">
        <f t="shared" si="2"/>
        <v>285.06</v>
      </c>
      <c r="D32" s="165">
        <v>7.96</v>
      </c>
      <c r="I32" s="151">
        <f t="shared" si="3"/>
        <v>0</v>
      </c>
      <c r="J32" s="151">
        <f t="shared" si="0"/>
        <v>0</v>
      </c>
      <c r="K32" s="169"/>
      <c r="L32" s="169"/>
    </row>
    <row r="33" spans="1:12" ht="15.75" hidden="1" thickBot="1" x14ac:dyDescent="0.25">
      <c r="A33" s="148">
        <f t="shared" si="1"/>
        <v>0</v>
      </c>
      <c r="B33" s="160">
        <v>285.07</v>
      </c>
      <c r="C33" s="164">
        <f t="shared" si="2"/>
        <v>291.85000000000002</v>
      </c>
      <c r="D33" s="165">
        <v>8.5</v>
      </c>
      <c r="I33" s="151">
        <f t="shared" si="3"/>
        <v>0</v>
      </c>
      <c r="J33" s="151">
        <f t="shared" si="0"/>
        <v>0</v>
      </c>
      <c r="K33" s="169"/>
      <c r="L33" s="169"/>
    </row>
    <row r="34" spans="1:12" ht="15.75" hidden="1" thickBot="1" x14ac:dyDescent="0.25">
      <c r="A34" s="148">
        <f t="shared" si="1"/>
        <v>0</v>
      </c>
      <c r="B34" s="160">
        <v>291.86</v>
      </c>
      <c r="C34" s="164">
        <f t="shared" si="2"/>
        <v>298.64</v>
      </c>
      <c r="D34" s="165">
        <v>9.0500000000000007</v>
      </c>
      <c r="I34" s="151">
        <f t="shared" si="3"/>
        <v>0</v>
      </c>
      <c r="J34" s="151">
        <f t="shared" si="0"/>
        <v>0</v>
      </c>
      <c r="K34" s="169"/>
      <c r="L34" s="169"/>
    </row>
    <row r="35" spans="1:12" ht="15.75" hidden="1" thickBot="1" x14ac:dyDescent="0.25">
      <c r="A35" s="148">
        <f t="shared" si="1"/>
        <v>0</v>
      </c>
      <c r="B35" s="160">
        <v>298.64999999999998</v>
      </c>
      <c r="C35" s="164">
        <f t="shared" si="2"/>
        <v>305.43</v>
      </c>
      <c r="D35" s="165">
        <v>9.6199999999999992</v>
      </c>
      <c r="I35" s="151">
        <f t="shared" si="3"/>
        <v>0</v>
      </c>
      <c r="J35" s="151">
        <f t="shared" si="0"/>
        <v>0</v>
      </c>
      <c r="K35" s="169"/>
      <c r="L35" s="169"/>
    </row>
    <row r="36" spans="1:12" ht="15.75" hidden="1" thickBot="1" x14ac:dyDescent="0.25">
      <c r="A36" s="148">
        <f t="shared" si="1"/>
        <v>0</v>
      </c>
      <c r="B36" s="160">
        <v>305.44</v>
      </c>
      <c r="C36" s="164">
        <f t="shared" si="2"/>
        <v>312.21000000000004</v>
      </c>
      <c r="D36" s="165">
        <v>10.210000000000001</v>
      </c>
      <c r="I36" s="151">
        <f t="shared" si="3"/>
        <v>0</v>
      </c>
      <c r="J36" s="151">
        <f t="shared" si="0"/>
        <v>0</v>
      </c>
      <c r="K36" s="169"/>
      <c r="L36" s="169"/>
    </row>
    <row r="37" spans="1:12" ht="15.75" hidden="1" thickBot="1" x14ac:dyDescent="0.25">
      <c r="A37" s="148">
        <f t="shared" si="1"/>
        <v>0</v>
      </c>
      <c r="B37" s="160">
        <v>312.22000000000003</v>
      </c>
      <c r="C37" s="164">
        <f t="shared" si="2"/>
        <v>319</v>
      </c>
      <c r="D37" s="165">
        <v>10.81</v>
      </c>
      <c r="I37" s="151">
        <f t="shared" si="3"/>
        <v>0</v>
      </c>
      <c r="J37" s="151">
        <f t="shared" si="0"/>
        <v>0</v>
      </c>
      <c r="K37" s="169"/>
      <c r="L37" s="169"/>
    </row>
    <row r="38" spans="1:12" ht="15.75" hidden="1" thickBot="1" x14ac:dyDescent="0.25">
      <c r="A38" s="148">
        <f t="shared" si="1"/>
        <v>0</v>
      </c>
      <c r="B38" s="160">
        <v>319.01</v>
      </c>
      <c r="C38" s="164">
        <f t="shared" si="2"/>
        <v>325.79000000000002</v>
      </c>
      <c r="D38" s="165">
        <v>11.43</v>
      </c>
      <c r="I38" s="151">
        <f t="shared" si="3"/>
        <v>0</v>
      </c>
      <c r="J38" s="151">
        <f t="shared" si="0"/>
        <v>0</v>
      </c>
      <c r="K38" s="169"/>
      <c r="L38" s="169"/>
    </row>
    <row r="39" spans="1:12" ht="15.75" hidden="1" thickBot="1" x14ac:dyDescent="0.25">
      <c r="A39" s="148">
        <f t="shared" si="1"/>
        <v>0</v>
      </c>
      <c r="B39" s="160">
        <v>325.8</v>
      </c>
      <c r="C39" s="164">
        <f t="shared" si="2"/>
        <v>332.58</v>
      </c>
      <c r="D39" s="165">
        <v>12.07</v>
      </c>
      <c r="I39" s="151">
        <f t="shared" si="3"/>
        <v>0</v>
      </c>
      <c r="J39" s="151">
        <f t="shared" si="0"/>
        <v>0</v>
      </c>
      <c r="K39" s="169"/>
      <c r="L39" s="169"/>
    </row>
    <row r="40" spans="1:12" ht="15.75" hidden="1" thickBot="1" x14ac:dyDescent="0.25">
      <c r="A40" s="148">
        <f t="shared" si="1"/>
        <v>0</v>
      </c>
      <c r="B40" s="160">
        <v>332.59</v>
      </c>
      <c r="C40" s="164">
        <f t="shared" si="2"/>
        <v>339.36</v>
      </c>
      <c r="D40" s="165">
        <v>12.71</v>
      </c>
      <c r="I40" s="151">
        <f t="shared" si="3"/>
        <v>0</v>
      </c>
      <c r="J40" s="151">
        <f t="shared" si="0"/>
        <v>0</v>
      </c>
      <c r="K40" s="169"/>
      <c r="L40" s="169"/>
    </row>
    <row r="41" spans="1:12" ht="15.75" hidden="1" thickBot="1" x14ac:dyDescent="0.25">
      <c r="A41" s="148">
        <f t="shared" si="1"/>
        <v>0</v>
      </c>
      <c r="B41" s="160">
        <v>339.37</v>
      </c>
      <c r="C41" s="164">
        <f t="shared" si="2"/>
        <v>356.33</v>
      </c>
      <c r="D41" s="165">
        <v>14.06</v>
      </c>
      <c r="I41" s="151">
        <f t="shared" si="3"/>
        <v>0</v>
      </c>
      <c r="J41" s="151">
        <f t="shared" si="0"/>
        <v>0</v>
      </c>
      <c r="K41" s="169"/>
      <c r="L41" s="169"/>
    </row>
    <row r="42" spans="1:12" ht="15.75" hidden="1" thickBot="1" x14ac:dyDescent="0.25">
      <c r="A42" s="148">
        <f t="shared" si="1"/>
        <v>0</v>
      </c>
      <c r="B42" s="160">
        <v>356.34</v>
      </c>
      <c r="C42" s="164">
        <f t="shared" si="2"/>
        <v>373.3</v>
      </c>
      <c r="D42" s="165">
        <v>15.83</v>
      </c>
      <c r="I42" s="151">
        <f t="shared" si="3"/>
        <v>0</v>
      </c>
      <c r="J42" s="151">
        <f t="shared" si="0"/>
        <v>0</v>
      </c>
      <c r="K42" s="169"/>
      <c r="L42" s="169"/>
    </row>
    <row r="43" spans="1:12" ht="15.75" hidden="1" thickBot="1" x14ac:dyDescent="0.25">
      <c r="A43" s="148">
        <f t="shared" si="1"/>
        <v>0</v>
      </c>
      <c r="B43" s="160">
        <v>373.31</v>
      </c>
      <c r="C43" s="164">
        <f t="shared" si="2"/>
        <v>390.27</v>
      </c>
      <c r="D43" s="165">
        <v>17.690000000000001</v>
      </c>
      <c r="I43" s="151">
        <f t="shared" si="3"/>
        <v>0</v>
      </c>
      <c r="J43" s="151">
        <f t="shared" si="0"/>
        <v>0</v>
      </c>
      <c r="K43" s="169"/>
      <c r="L43" s="169"/>
    </row>
    <row r="44" spans="1:12" ht="15.75" hidden="1" thickBot="1" x14ac:dyDescent="0.25">
      <c r="A44" s="148">
        <f t="shared" si="1"/>
        <v>0</v>
      </c>
      <c r="B44" s="160">
        <v>390.28</v>
      </c>
      <c r="C44" s="164">
        <f t="shared" si="2"/>
        <v>407.24</v>
      </c>
      <c r="D44" s="165">
        <v>19.649999999999999</v>
      </c>
      <c r="I44" s="151">
        <f t="shared" si="3"/>
        <v>0</v>
      </c>
      <c r="J44" s="151">
        <f t="shared" si="0"/>
        <v>0</v>
      </c>
      <c r="K44" s="169"/>
      <c r="L44" s="169"/>
    </row>
    <row r="45" spans="1:12" ht="15.75" hidden="1" thickBot="1" x14ac:dyDescent="0.25">
      <c r="A45" s="148">
        <f t="shared" si="1"/>
        <v>0</v>
      </c>
      <c r="B45" s="160">
        <v>407.25</v>
      </c>
      <c r="C45" s="164">
        <f t="shared" si="2"/>
        <v>424.21000000000004</v>
      </c>
      <c r="D45" s="165">
        <v>21.69</v>
      </c>
      <c r="I45" s="151">
        <f t="shared" si="3"/>
        <v>0</v>
      </c>
      <c r="J45" s="151">
        <f t="shared" si="0"/>
        <v>0</v>
      </c>
      <c r="K45" s="169"/>
      <c r="L45" s="169"/>
    </row>
    <row r="46" spans="1:12" ht="15.75" hidden="1" thickBot="1" x14ac:dyDescent="0.25">
      <c r="A46" s="148">
        <f t="shared" si="1"/>
        <v>0</v>
      </c>
      <c r="B46" s="160">
        <v>424.22</v>
      </c>
      <c r="C46" s="164">
        <f t="shared" si="2"/>
        <v>441.18</v>
      </c>
      <c r="D46" s="165">
        <v>23.84</v>
      </c>
      <c r="I46" s="151">
        <f t="shared" si="3"/>
        <v>0</v>
      </c>
      <c r="J46" s="151">
        <f t="shared" si="0"/>
        <v>0</v>
      </c>
      <c r="K46" s="169"/>
      <c r="L46" s="169"/>
    </row>
    <row r="47" spans="1:12" ht="15.75" hidden="1" thickBot="1" x14ac:dyDescent="0.25">
      <c r="A47" s="148">
        <f t="shared" si="1"/>
        <v>0</v>
      </c>
      <c r="B47" s="160">
        <v>441.19</v>
      </c>
      <c r="C47" s="164">
        <f t="shared" si="2"/>
        <v>458.15000000000003</v>
      </c>
      <c r="D47" s="165">
        <v>26.07</v>
      </c>
      <c r="I47" s="151">
        <f t="shared" si="3"/>
        <v>0</v>
      </c>
      <c r="J47" s="151">
        <f t="shared" si="0"/>
        <v>0</v>
      </c>
      <c r="K47" s="169"/>
      <c r="L47" s="169"/>
    </row>
    <row r="48" spans="1:12" ht="15.75" hidden="1" thickBot="1" x14ac:dyDescent="0.25">
      <c r="A48" s="148">
        <f t="shared" si="1"/>
        <v>0</v>
      </c>
      <c r="B48" s="160">
        <v>458.16</v>
      </c>
      <c r="C48" s="164">
        <f t="shared" si="2"/>
        <v>475.11</v>
      </c>
      <c r="D48" s="165">
        <v>28.39</v>
      </c>
      <c r="I48" s="151">
        <f t="shared" si="3"/>
        <v>0</v>
      </c>
      <c r="J48" s="151">
        <f t="shared" si="0"/>
        <v>0</v>
      </c>
      <c r="K48" s="169"/>
      <c r="L48" s="169"/>
    </row>
    <row r="49" spans="1:12" ht="15.75" hidden="1" thickBot="1" x14ac:dyDescent="0.25">
      <c r="A49" s="148">
        <f t="shared" si="1"/>
        <v>0</v>
      </c>
      <c r="B49" s="160">
        <v>475.12</v>
      </c>
      <c r="C49" s="164">
        <f t="shared" si="2"/>
        <v>492.08</v>
      </c>
      <c r="D49" s="165">
        <v>30.8</v>
      </c>
      <c r="I49" s="151">
        <f t="shared" si="3"/>
        <v>0</v>
      </c>
      <c r="J49" s="151">
        <f t="shared" si="0"/>
        <v>0</v>
      </c>
      <c r="K49" s="169"/>
      <c r="L49" s="169"/>
    </row>
    <row r="50" spans="1:12" ht="15.75" hidden="1" thickBot="1" x14ac:dyDescent="0.25">
      <c r="A50" s="148">
        <f t="shared" si="1"/>
        <v>0</v>
      </c>
      <c r="B50" s="160">
        <v>492.09</v>
      </c>
      <c r="C50" s="164">
        <f t="shared" si="2"/>
        <v>509.05</v>
      </c>
      <c r="D50" s="165">
        <v>33.29</v>
      </c>
      <c r="I50" s="151">
        <f t="shared" si="3"/>
        <v>0</v>
      </c>
      <c r="J50" s="151">
        <f t="shared" si="0"/>
        <v>0</v>
      </c>
      <c r="K50" s="169"/>
      <c r="L50" s="169"/>
    </row>
    <row r="51" spans="1:12" ht="15.75" hidden="1" thickBot="1" x14ac:dyDescent="0.25">
      <c r="A51" s="148">
        <f t="shared" si="1"/>
        <v>0</v>
      </c>
      <c r="B51" s="160">
        <v>509.06</v>
      </c>
      <c r="C51" s="164">
        <f t="shared" si="2"/>
        <v>526.02</v>
      </c>
      <c r="D51" s="165">
        <v>35.869999999999997</v>
      </c>
      <c r="I51" s="151">
        <f t="shared" si="3"/>
        <v>0</v>
      </c>
      <c r="J51" s="151">
        <f t="shared" si="0"/>
        <v>0</v>
      </c>
      <c r="K51" s="169"/>
      <c r="L51" s="169"/>
    </row>
    <row r="52" spans="1:12" ht="15.75" hidden="1" thickBot="1" x14ac:dyDescent="0.25">
      <c r="A52" s="148">
        <f t="shared" si="1"/>
        <v>0</v>
      </c>
      <c r="B52" s="160">
        <v>526.03</v>
      </c>
      <c r="C52" s="164">
        <f t="shared" si="2"/>
        <v>542.99</v>
      </c>
      <c r="D52" s="165">
        <v>38.54</v>
      </c>
      <c r="I52" s="151">
        <f t="shared" si="3"/>
        <v>0</v>
      </c>
      <c r="J52" s="151">
        <f t="shared" si="0"/>
        <v>0</v>
      </c>
      <c r="K52" s="169"/>
      <c r="L52" s="169"/>
    </row>
    <row r="53" spans="1:12" ht="15.75" hidden="1" thickBot="1" x14ac:dyDescent="0.25">
      <c r="A53" s="148">
        <f t="shared" si="1"/>
        <v>0</v>
      </c>
      <c r="B53" s="160">
        <v>543</v>
      </c>
      <c r="C53" s="164">
        <f t="shared" si="2"/>
        <v>559.96</v>
      </c>
      <c r="D53" s="165">
        <v>41.29</v>
      </c>
      <c r="I53" s="151">
        <f t="shared" si="3"/>
        <v>0</v>
      </c>
      <c r="J53" s="151">
        <f t="shared" si="0"/>
        <v>0</v>
      </c>
      <c r="K53" s="169"/>
      <c r="L53" s="169"/>
    </row>
    <row r="54" spans="1:12" ht="15.75" hidden="1" thickBot="1" x14ac:dyDescent="0.25">
      <c r="A54" s="148">
        <f t="shared" si="1"/>
        <v>0</v>
      </c>
      <c r="B54" s="160">
        <v>559.97</v>
      </c>
      <c r="C54" s="164">
        <f t="shared" si="2"/>
        <v>576.93000000000006</v>
      </c>
      <c r="D54" s="165">
        <v>44.11</v>
      </c>
      <c r="I54" s="151">
        <f t="shared" si="3"/>
        <v>0</v>
      </c>
      <c r="J54" s="151">
        <f t="shared" si="0"/>
        <v>0</v>
      </c>
      <c r="K54" s="169"/>
      <c r="L54" s="169"/>
    </row>
    <row r="55" spans="1:12" ht="15.75" hidden="1" thickBot="1" x14ac:dyDescent="0.25">
      <c r="A55" s="148">
        <f t="shared" si="1"/>
        <v>0</v>
      </c>
      <c r="B55" s="160">
        <v>576.94000000000005</v>
      </c>
      <c r="C55" s="164">
        <f t="shared" si="2"/>
        <v>593.89</v>
      </c>
      <c r="D55" s="165">
        <v>47.02</v>
      </c>
      <c r="I55" s="151">
        <f t="shared" si="3"/>
        <v>0</v>
      </c>
      <c r="J55" s="151">
        <f t="shared" si="0"/>
        <v>0</v>
      </c>
      <c r="K55" s="169"/>
      <c r="L55" s="169"/>
    </row>
    <row r="56" spans="1:12" ht="15.75" hidden="1" thickBot="1" x14ac:dyDescent="0.25">
      <c r="A56" s="148">
        <f t="shared" si="1"/>
        <v>0</v>
      </c>
      <c r="B56" s="160">
        <v>593.9</v>
      </c>
      <c r="C56" s="164">
        <f t="shared" si="2"/>
        <v>610.86</v>
      </c>
      <c r="D56" s="165">
        <v>50</v>
      </c>
      <c r="I56" s="151">
        <f t="shared" si="3"/>
        <v>0</v>
      </c>
      <c r="J56" s="151">
        <f t="shared" si="0"/>
        <v>0</v>
      </c>
      <c r="K56" s="169"/>
      <c r="L56" s="169"/>
    </row>
    <row r="57" spans="1:12" ht="15.75" hidden="1" thickBot="1" x14ac:dyDescent="0.25">
      <c r="A57" s="148">
        <f t="shared" si="1"/>
        <v>0</v>
      </c>
      <c r="B57" s="160">
        <v>610.87</v>
      </c>
      <c r="C57" s="164">
        <f t="shared" si="2"/>
        <v>627.83000000000004</v>
      </c>
      <c r="D57" s="165">
        <v>53.06</v>
      </c>
      <c r="I57" s="151">
        <f t="shared" si="3"/>
        <v>0</v>
      </c>
      <c r="J57" s="151">
        <f t="shared" si="0"/>
        <v>0</v>
      </c>
      <c r="K57" s="169"/>
      <c r="L57" s="169"/>
    </row>
    <row r="58" spans="1:12" ht="15.75" hidden="1" thickBot="1" x14ac:dyDescent="0.25">
      <c r="A58" s="148">
        <f t="shared" si="1"/>
        <v>0</v>
      </c>
      <c r="B58" s="160">
        <v>627.84</v>
      </c>
      <c r="C58" s="164">
        <f t="shared" si="2"/>
        <v>644.79999999999995</v>
      </c>
      <c r="D58" s="165">
        <v>56.2</v>
      </c>
      <c r="I58" s="151">
        <f t="shared" si="3"/>
        <v>0</v>
      </c>
      <c r="J58" s="151">
        <f t="shared" si="0"/>
        <v>0</v>
      </c>
      <c r="K58" s="169"/>
      <c r="L58" s="169"/>
    </row>
    <row r="59" spans="1:12" ht="15.75" hidden="1" thickBot="1" x14ac:dyDescent="0.25">
      <c r="A59" s="148">
        <f t="shared" si="1"/>
        <v>0</v>
      </c>
      <c r="B59" s="160">
        <v>644.80999999999995</v>
      </c>
      <c r="C59" s="164">
        <f t="shared" si="2"/>
        <v>661.77</v>
      </c>
      <c r="D59" s="165">
        <v>59.4</v>
      </c>
      <c r="I59" s="151">
        <f t="shared" si="3"/>
        <v>0</v>
      </c>
      <c r="J59" s="151">
        <f t="shared" si="0"/>
        <v>0</v>
      </c>
      <c r="K59" s="169"/>
      <c r="L59" s="169"/>
    </row>
    <row r="60" spans="1:12" ht="15.75" hidden="1" thickBot="1" x14ac:dyDescent="0.25">
      <c r="A60" s="148">
        <f t="shared" si="1"/>
        <v>0</v>
      </c>
      <c r="B60" s="163">
        <v>661.78</v>
      </c>
      <c r="C60" s="164">
        <f t="shared" si="2"/>
        <v>678.74</v>
      </c>
      <c r="D60" s="166">
        <v>62.68</v>
      </c>
      <c r="I60" s="151">
        <f t="shared" si="3"/>
        <v>0</v>
      </c>
      <c r="J60" s="151">
        <f t="shared" si="0"/>
        <v>0</v>
      </c>
      <c r="K60" s="169"/>
      <c r="L60" s="169"/>
    </row>
    <row r="61" spans="1:12" ht="15.75" hidden="1" thickBot="1" x14ac:dyDescent="0.25">
      <c r="A61" s="148">
        <f t="shared" si="1"/>
        <v>0</v>
      </c>
      <c r="B61" s="160">
        <v>678.75</v>
      </c>
      <c r="C61" s="164">
        <f t="shared" si="2"/>
        <v>695.71</v>
      </c>
      <c r="D61" s="167">
        <v>66.02</v>
      </c>
      <c r="I61" s="151">
        <f t="shared" si="3"/>
        <v>0</v>
      </c>
      <c r="J61" s="151">
        <f t="shared" si="0"/>
        <v>0</v>
      </c>
      <c r="K61" s="169"/>
      <c r="L61" s="169"/>
    </row>
    <row r="62" spans="1:12" ht="15.75" hidden="1" thickBot="1" x14ac:dyDescent="0.25">
      <c r="A62" s="148">
        <f t="shared" si="1"/>
        <v>0</v>
      </c>
      <c r="B62" s="160">
        <v>695.72</v>
      </c>
      <c r="C62" s="164">
        <f t="shared" si="2"/>
        <v>712.68000000000006</v>
      </c>
      <c r="D62" s="167">
        <v>69.430000000000007</v>
      </c>
      <c r="I62" s="151">
        <f t="shared" si="3"/>
        <v>0</v>
      </c>
      <c r="J62" s="151">
        <f t="shared" si="0"/>
        <v>0</v>
      </c>
      <c r="K62" s="169"/>
      <c r="L62" s="169"/>
    </row>
    <row r="63" spans="1:12" ht="15.75" hidden="1" thickBot="1" x14ac:dyDescent="0.25">
      <c r="A63" s="148">
        <f t="shared" si="1"/>
        <v>0</v>
      </c>
      <c r="B63" s="160">
        <v>712.69</v>
      </c>
      <c r="C63" s="164">
        <f t="shared" si="2"/>
        <v>729.64</v>
      </c>
      <c r="D63" s="167">
        <v>72.900000000000006</v>
      </c>
      <c r="I63" s="151">
        <f t="shared" si="3"/>
        <v>0</v>
      </c>
      <c r="J63" s="151">
        <f t="shared" si="0"/>
        <v>0</v>
      </c>
      <c r="K63" s="169"/>
      <c r="L63" s="169"/>
    </row>
    <row r="64" spans="1:12" ht="15.75" hidden="1" thickBot="1" x14ac:dyDescent="0.25">
      <c r="A64" s="148">
        <f t="shared" si="1"/>
        <v>0</v>
      </c>
      <c r="B64" s="160">
        <v>729.65</v>
      </c>
      <c r="C64" s="164">
        <f t="shared" si="2"/>
        <v>746.61</v>
      </c>
      <c r="D64" s="167">
        <v>76.430000000000007</v>
      </c>
      <c r="I64" s="151">
        <f t="shared" si="3"/>
        <v>0</v>
      </c>
      <c r="J64" s="151">
        <f t="shared" si="0"/>
        <v>0</v>
      </c>
      <c r="K64" s="169"/>
      <c r="L64" s="169"/>
    </row>
    <row r="65" spans="1:12" ht="15.75" hidden="1" thickBot="1" x14ac:dyDescent="0.25">
      <c r="A65" s="148">
        <f t="shared" si="1"/>
        <v>0</v>
      </c>
      <c r="B65" s="160">
        <v>746.62</v>
      </c>
      <c r="C65" s="164">
        <f t="shared" si="2"/>
        <v>763.58</v>
      </c>
      <c r="D65" s="167">
        <v>80.03</v>
      </c>
      <c r="I65" s="151">
        <f t="shared" si="3"/>
        <v>0</v>
      </c>
      <c r="J65" s="151">
        <f t="shared" si="0"/>
        <v>0</v>
      </c>
      <c r="K65" s="169"/>
      <c r="L65" s="169"/>
    </row>
    <row r="66" spans="1:12" ht="15.75" hidden="1" thickBot="1" x14ac:dyDescent="0.25">
      <c r="A66" s="148">
        <f t="shared" si="1"/>
        <v>0</v>
      </c>
      <c r="B66" s="160">
        <v>763.59</v>
      </c>
      <c r="C66" s="164">
        <f t="shared" si="2"/>
        <v>780.55</v>
      </c>
      <c r="D66" s="167">
        <v>83.68</v>
      </c>
      <c r="I66" s="151">
        <f t="shared" si="3"/>
        <v>0</v>
      </c>
      <c r="J66" s="151">
        <f t="shared" si="0"/>
        <v>0</v>
      </c>
      <c r="K66" s="169"/>
      <c r="L66" s="169"/>
    </row>
    <row r="67" spans="1:12" ht="15.75" hidden="1" thickBot="1" x14ac:dyDescent="0.25">
      <c r="A67" s="148">
        <f t="shared" si="1"/>
        <v>0</v>
      </c>
      <c r="B67" s="160">
        <v>780.56</v>
      </c>
      <c r="C67" s="164">
        <f t="shared" si="2"/>
        <v>797.52</v>
      </c>
      <c r="D67" s="167">
        <v>87.39</v>
      </c>
      <c r="I67" s="151">
        <f t="shared" si="3"/>
        <v>0</v>
      </c>
      <c r="J67" s="151">
        <f t="shared" ref="J67:J87" si="4">IF($H$3&lt;=C67,$H$3,0)</f>
        <v>0</v>
      </c>
      <c r="K67" s="169"/>
      <c r="L67" s="169"/>
    </row>
    <row r="68" spans="1:12" ht="15.75" hidden="1" thickBot="1" x14ac:dyDescent="0.25">
      <c r="A68" s="148">
        <f t="shared" ref="A68:A88" si="5">+I68-J68</f>
        <v>0</v>
      </c>
      <c r="B68" s="160">
        <v>797.53</v>
      </c>
      <c r="C68" s="164">
        <f t="shared" ref="C68:C87" si="6">+B69-0.01</f>
        <v>814.49</v>
      </c>
      <c r="D68" s="167">
        <v>91.15</v>
      </c>
      <c r="I68" s="151">
        <f t="shared" ref="I68:I87" si="7">IF($H$3&gt;=B68,$H$3,0)</f>
        <v>0</v>
      </c>
      <c r="J68" s="151">
        <f t="shared" si="4"/>
        <v>0</v>
      </c>
      <c r="K68" s="169"/>
      <c r="L68" s="169"/>
    </row>
    <row r="69" spans="1:12" ht="15.75" hidden="1" thickBot="1" x14ac:dyDescent="0.25">
      <c r="A69" s="148">
        <f t="shared" si="5"/>
        <v>0</v>
      </c>
      <c r="B69" s="160">
        <v>814.5</v>
      </c>
      <c r="C69" s="164">
        <f t="shared" si="6"/>
        <v>831.46</v>
      </c>
      <c r="D69" s="167">
        <v>94.96</v>
      </c>
      <c r="I69" s="151">
        <f t="shared" si="7"/>
        <v>0</v>
      </c>
      <c r="J69" s="151">
        <f t="shared" si="4"/>
        <v>0</v>
      </c>
      <c r="K69" s="169"/>
      <c r="L69" s="169"/>
    </row>
    <row r="70" spans="1:12" ht="15.75" hidden="1" thickBot="1" x14ac:dyDescent="0.25">
      <c r="A70" s="148">
        <f t="shared" si="5"/>
        <v>0</v>
      </c>
      <c r="B70" s="160">
        <v>831.47</v>
      </c>
      <c r="C70" s="164">
        <f t="shared" si="6"/>
        <v>848.43000000000006</v>
      </c>
      <c r="D70" s="167">
        <v>98.81</v>
      </c>
      <c r="I70" s="151">
        <f t="shared" si="7"/>
        <v>0</v>
      </c>
      <c r="J70" s="151">
        <f t="shared" si="4"/>
        <v>0</v>
      </c>
      <c r="K70" s="169"/>
      <c r="L70" s="169"/>
    </row>
    <row r="71" spans="1:12" ht="15.75" hidden="1" thickBot="1" x14ac:dyDescent="0.25">
      <c r="A71" s="148">
        <f t="shared" si="5"/>
        <v>0</v>
      </c>
      <c r="B71" s="160">
        <v>848.44</v>
      </c>
      <c r="C71" s="164">
        <f t="shared" si="6"/>
        <v>865.39</v>
      </c>
      <c r="D71" s="167">
        <v>102.72</v>
      </c>
      <c r="I71" s="151">
        <f t="shared" si="7"/>
        <v>0</v>
      </c>
      <c r="J71" s="151">
        <f t="shared" si="4"/>
        <v>0</v>
      </c>
      <c r="K71" s="169"/>
      <c r="L71" s="169"/>
    </row>
    <row r="72" spans="1:12" ht="15.75" hidden="1" thickBot="1" x14ac:dyDescent="0.25">
      <c r="A72" s="148">
        <f t="shared" si="5"/>
        <v>0</v>
      </c>
      <c r="B72" s="160">
        <v>865.4</v>
      </c>
      <c r="C72" s="164">
        <f t="shared" si="6"/>
        <v>882.36</v>
      </c>
      <c r="D72" s="167">
        <v>106.67</v>
      </c>
      <c r="I72" s="151">
        <f t="shared" si="7"/>
        <v>0</v>
      </c>
      <c r="J72" s="151">
        <f t="shared" si="4"/>
        <v>0</v>
      </c>
      <c r="K72" s="169"/>
      <c r="L72" s="169"/>
    </row>
    <row r="73" spans="1:12" ht="15.75" hidden="1" thickBot="1" x14ac:dyDescent="0.25">
      <c r="A73" s="148">
        <f t="shared" si="5"/>
        <v>0</v>
      </c>
      <c r="B73" s="160">
        <v>882.37</v>
      </c>
      <c r="C73" s="164">
        <f t="shared" si="6"/>
        <v>899.33</v>
      </c>
      <c r="D73" s="167">
        <v>110.65</v>
      </c>
      <c r="I73" s="151">
        <f t="shared" si="7"/>
        <v>0</v>
      </c>
      <c r="J73" s="151">
        <f t="shared" si="4"/>
        <v>0</v>
      </c>
      <c r="K73" s="169"/>
      <c r="L73" s="169"/>
    </row>
    <row r="74" spans="1:12" ht="15.75" hidden="1" thickBot="1" x14ac:dyDescent="0.25">
      <c r="A74" s="148">
        <f t="shared" si="5"/>
        <v>0</v>
      </c>
      <c r="B74" s="160">
        <v>899.34</v>
      </c>
      <c r="C74" s="164">
        <f t="shared" si="6"/>
        <v>916.3</v>
      </c>
      <c r="D74" s="167">
        <v>114.68</v>
      </c>
      <c r="I74" s="151">
        <f t="shared" si="7"/>
        <v>0</v>
      </c>
      <c r="J74" s="151">
        <f t="shared" si="4"/>
        <v>0</v>
      </c>
      <c r="K74" s="169"/>
      <c r="L74" s="169"/>
    </row>
    <row r="75" spans="1:12" ht="15.75" hidden="1" thickBot="1" x14ac:dyDescent="0.25">
      <c r="A75" s="148">
        <f t="shared" si="5"/>
        <v>0</v>
      </c>
      <c r="B75" s="160">
        <v>916.31</v>
      </c>
      <c r="C75" s="164">
        <f t="shared" si="6"/>
        <v>933.27</v>
      </c>
      <c r="D75" s="167">
        <v>118.74</v>
      </c>
      <c r="I75" s="151">
        <f t="shared" si="7"/>
        <v>0</v>
      </c>
      <c r="J75" s="151">
        <f t="shared" si="4"/>
        <v>0</v>
      </c>
      <c r="K75" s="169"/>
      <c r="L75" s="169"/>
    </row>
    <row r="76" spans="1:12" ht="15.75" hidden="1" thickBot="1" x14ac:dyDescent="0.25">
      <c r="A76" s="148">
        <f t="shared" si="5"/>
        <v>0</v>
      </c>
      <c r="B76" s="160">
        <v>933.28</v>
      </c>
      <c r="C76" s="164">
        <f t="shared" si="6"/>
        <v>950.24</v>
      </c>
      <c r="D76" s="167">
        <v>122.84</v>
      </c>
      <c r="I76" s="151">
        <f t="shared" si="7"/>
        <v>0</v>
      </c>
      <c r="J76" s="151">
        <f t="shared" si="4"/>
        <v>0</v>
      </c>
      <c r="K76" s="169"/>
      <c r="L76" s="169"/>
    </row>
    <row r="77" spans="1:12" ht="15.75" hidden="1" thickBot="1" x14ac:dyDescent="0.25">
      <c r="A77" s="148">
        <f t="shared" si="5"/>
        <v>0</v>
      </c>
      <c r="B77" s="160">
        <v>950.25</v>
      </c>
      <c r="C77" s="164">
        <f t="shared" si="6"/>
        <v>967.21</v>
      </c>
      <c r="D77" s="167">
        <v>126.96</v>
      </c>
      <c r="I77" s="151">
        <f t="shared" si="7"/>
        <v>0</v>
      </c>
      <c r="J77" s="151">
        <f t="shared" si="4"/>
        <v>0</v>
      </c>
      <c r="K77" s="169"/>
      <c r="L77" s="169"/>
    </row>
    <row r="78" spans="1:12" ht="15.75" hidden="1" thickBot="1" x14ac:dyDescent="0.25">
      <c r="A78" s="148">
        <f t="shared" si="5"/>
        <v>0</v>
      </c>
      <c r="B78" s="160">
        <v>967.22</v>
      </c>
      <c r="C78" s="164">
        <f t="shared" si="6"/>
        <v>984.18000000000006</v>
      </c>
      <c r="D78" s="167">
        <v>131.11000000000001</v>
      </c>
      <c r="I78" s="151">
        <f t="shared" si="7"/>
        <v>0</v>
      </c>
      <c r="J78" s="151">
        <f t="shared" si="4"/>
        <v>0</v>
      </c>
      <c r="K78" s="169"/>
      <c r="L78" s="169"/>
    </row>
    <row r="79" spans="1:12" ht="15.75" hidden="1" thickBot="1" x14ac:dyDescent="0.25">
      <c r="A79" s="148">
        <f t="shared" si="5"/>
        <v>0</v>
      </c>
      <c r="B79" s="160">
        <v>984.19</v>
      </c>
      <c r="C79" s="164">
        <f t="shared" si="6"/>
        <v>1001.14</v>
      </c>
      <c r="D79" s="167">
        <v>135.29</v>
      </c>
      <c r="I79" s="151">
        <f t="shared" si="7"/>
        <v>0</v>
      </c>
      <c r="J79" s="151">
        <f t="shared" si="4"/>
        <v>0</v>
      </c>
      <c r="K79" s="169"/>
      <c r="L79" s="169"/>
    </row>
    <row r="80" spans="1:12" ht="15.75" hidden="1" thickBot="1" x14ac:dyDescent="0.25">
      <c r="A80" s="148">
        <f t="shared" si="5"/>
        <v>0</v>
      </c>
      <c r="B80" s="160">
        <v>1001.15</v>
      </c>
      <c r="C80" s="164">
        <f t="shared" si="6"/>
        <v>1018.11</v>
      </c>
      <c r="D80" s="167">
        <v>139.49</v>
      </c>
      <c r="I80" s="151">
        <f t="shared" si="7"/>
        <v>0</v>
      </c>
      <c r="J80" s="151">
        <f t="shared" si="4"/>
        <v>0</v>
      </c>
      <c r="K80" s="169"/>
      <c r="L80" s="169"/>
    </row>
    <row r="81" spans="1:12" ht="15.75" hidden="1" thickBot="1" x14ac:dyDescent="0.25">
      <c r="A81" s="148">
        <f t="shared" si="5"/>
        <v>0</v>
      </c>
      <c r="B81" s="160">
        <v>1018.12</v>
      </c>
      <c r="C81" s="164">
        <f t="shared" si="6"/>
        <v>1035.08</v>
      </c>
      <c r="D81" s="167">
        <v>143.71</v>
      </c>
      <c r="I81" s="151">
        <f t="shared" si="7"/>
        <v>0</v>
      </c>
      <c r="J81" s="151">
        <f t="shared" si="4"/>
        <v>0</v>
      </c>
      <c r="K81" s="169"/>
      <c r="L81" s="169"/>
    </row>
    <row r="82" spans="1:12" ht="15.75" hidden="1" thickBot="1" x14ac:dyDescent="0.25">
      <c r="A82" s="148">
        <f t="shared" si="5"/>
        <v>0</v>
      </c>
      <c r="B82" s="160">
        <v>1035.0899999999999</v>
      </c>
      <c r="C82" s="164">
        <f t="shared" si="6"/>
        <v>1052.05</v>
      </c>
      <c r="D82" s="167">
        <v>147.94</v>
      </c>
      <c r="I82" s="151">
        <f t="shared" si="7"/>
        <v>0</v>
      </c>
      <c r="J82" s="151">
        <f t="shared" si="4"/>
        <v>0</v>
      </c>
      <c r="K82" s="169"/>
      <c r="L82" s="169"/>
    </row>
    <row r="83" spans="1:12" ht="15.75" hidden="1" thickBot="1" x14ac:dyDescent="0.25">
      <c r="A83" s="148">
        <f t="shared" si="5"/>
        <v>0</v>
      </c>
      <c r="B83" s="160">
        <v>1052.06</v>
      </c>
      <c r="C83" s="164">
        <f t="shared" si="6"/>
        <v>1069.02</v>
      </c>
      <c r="D83" s="167">
        <v>152.19</v>
      </c>
      <c r="I83" s="151">
        <f t="shared" si="7"/>
        <v>0</v>
      </c>
      <c r="J83" s="151">
        <f t="shared" si="4"/>
        <v>0</v>
      </c>
      <c r="K83" s="169"/>
      <c r="L83" s="169"/>
    </row>
    <row r="84" spans="1:12" ht="15.75" hidden="1" thickBot="1" x14ac:dyDescent="0.25">
      <c r="A84" s="148">
        <f t="shared" si="5"/>
        <v>0</v>
      </c>
      <c r="B84" s="160">
        <v>1069.03</v>
      </c>
      <c r="C84" s="164">
        <f t="shared" si="6"/>
        <v>1085.99</v>
      </c>
      <c r="D84" s="167">
        <v>156.44999999999999</v>
      </c>
      <c r="I84" s="151">
        <f t="shared" si="7"/>
        <v>0</v>
      </c>
      <c r="J84" s="151">
        <f t="shared" si="4"/>
        <v>0</v>
      </c>
      <c r="K84" s="169"/>
      <c r="L84" s="169"/>
    </row>
    <row r="85" spans="1:12" ht="15.75" hidden="1" thickBot="1" x14ac:dyDescent="0.25">
      <c r="A85" s="148">
        <f t="shared" si="5"/>
        <v>0</v>
      </c>
      <c r="B85" s="160">
        <v>1086</v>
      </c>
      <c r="C85" s="164">
        <f t="shared" si="6"/>
        <v>1102.96</v>
      </c>
      <c r="D85" s="167">
        <v>160.72</v>
      </c>
      <c r="I85" s="151">
        <f t="shared" si="7"/>
        <v>0</v>
      </c>
      <c r="J85" s="151">
        <f t="shared" si="4"/>
        <v>0</v>
      </c>
      <c r="K85" s="169"/>
      <c r="L85" s="169"/>
    </row>
    <row r="86" spans="1:12" ht="15.75" hidden="1" thickBot="1" x14ac:dyDescent="0.25">
      <c r="A86" s="148">
        <f t="shared" si="5"/>
        <v>0</v>
      </c>
      <c r="B86" s="160">
        <v>1102.97</v>
      </c>
      <c r="C86" s="164">
        <f t="shared" si="6"/>
        <v>1119.92</v>
      </c>
      <c r="D86" s="167">
        <v>164.99</v>
      </c>
      <c r="I86" s="151">
        <f t="shared" si="7"/>
        <v>0</v>
      </c>
      <c r="J86" s="151">
        <f t="shared" si="4"/>
        <v>0</v>
      </c>
      <c r="K86" s="169"/>
      <c r="L86" s="169"/>
    </row>
    <row r="87" spans="1:12" ht="15.75" hidden="1" thickBot="1" x14ac:dyDescent="0.25">
      <c r="A87" s="148">
        <f t="shared" si="5"/>
        <v>0</v>
      </c>
      <c r="B87" s="160">
        <v>1119.93</v>
      </c>
      <c r="C87" s="164">
        <f t="shared" si="6"/>
        <v>1136.9100000000001</v>
      </c>
      <c r="D87" s="167">
        <v>169.26</v>
      </c>
      <c r="I87" s="151">
        <f t="shared" si="7"/>
        <v>0</v>
      </c>
      <c r="J87" s="151">
        <f t="shared" si="4"/>
        <v>0</v>
      </c>
      <c r="K87" s="169"/>
      <c r="L87" s="169"/>
    </row>
    <row r="88" spans="1:12" ht="15.75" hidden="1" thickBot="1" x14ac:dyDescent="0.25">
      <c r="A88" s="148">
        <f t="shared" si="5"/>
        <v>0</v>
      </c>
      <c r="B88" s="160">
        <v>1136.92</v>
      </c>
      <c r="C88" s="164" t="s">
        <v>68</v>
      </c>
      <c r="D88" s="168">
        <f>IF(H3&gt;=B88,27%*H3-135.17,0)</f>
        <v>0</v>
      </c>
      <c r="I88" s="151">
        <f>IF($H$3&gt;=B88,$H$3,0)</f>
        <v>0</v>
      </c>
      <c r="J88" s="151">
        <f>IF($H$3&lt;=C88,$H$3,0)</f>
        <v>0</v>
      </c>
      <c r="K88" s="169"/>
      <c r="L88" s="169"/>
    </row>
    <row r="89" spans="1:12" hidden="1" x14ac:dyDescent="0.2"/>
    <row r="90" spans="1:12" hidden="1" x14ac:dyDescent="0.2"/>
  </sheetData>
  <sheetProtection password="BE45" sheet="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78"/>
  <sheetViews>
    <sheetView topLeftCell="A79" workbookViewId="0">
      <selection activeCell="B100" sqref="B100"/>
    </sheetView>
  </sheetViews>
  <sheetFormatPr baseColWidth="10" defaultRowHeight="15" x14ac:dyDescent="0.25"/>
  <cols>
    <col min="1" max="1" width="57.85546875" customWidth="1"/>
    <col min="3" max="3" width="2" customWidth="1"/>
    <col min="4" max="4" width="13.85546875" customWidth="1"/>
    <col min="5" max="5" width="2.28515625" customWidth="1"/>
    <col min="6" max="6" width="9.140625" customWidth="1"/>
    <col min="8" max="8" width="11.42578125" style="124" customWidth="1"/>
  </cols>
  <sheetData>
    <row r="1" spans="1:8" ht="30.75" hidden="1" customHeight="1" x14ac:dyDescent="0.25">
      <c r="A1" s="1058" t="s">
        <v>25</v>
      </c>
      <c r="B1" s="1058"/>
      <c r="C1" s="1058"/>
      <c r="D1" s="1058"/>
      <c r="E1" s="1058"/>
      <c r="F1" s="1058"/>
      <c r="H1" s="123"/>
    </row>
    <row r="2" spans="1:8" ht="15.75" hidden="1" x14ac:dyDescent="0.25">
      <c r="A2" s="1059" t="s">
        <v>26</v>
      </c>
      <c r="B2" s="1059"/>
      <c r="C2" s="1059"/>
      <c r="D2" s="1059"/>
      <c r="E2" s="1059"/>
      <c r="F2" s="1059"/>
    </row>
    <row r="3" spans="1:8" hidden="1" x14ac:dyDescent="0.25"/>
    <row r="4" spans="1:8" hidden="1" x14ac:dyDescent="0.25"/>
    <row r="5" spans="1:8" hidden="1" x14ac:dyDescent="0.25">
      <c r="A5" t="s">
        <v>0</v>
      </c>
      <c r="B5" s="1">
        <v>12000</v>
      </c>
      <c r="C5" s="1"/>
      <c r="D5" t="s">
        <v>1</v>
      </c>
    </row>
    <row r="6" spans="1:8" hidden="1" x14ac:dyDescent="0.25">
      <c r="A6" t="s">
        <v>2</v>
      </c>
      <c r="B6" s="1">
        <v>26841</v>
      </c>
      <c r="C6" s="1"/>
    </row>
    <row r="7" spans="1:8" hidden="1" x14ac:dyDescent="0.25"/>
    <row r="8" spans="1:8" ht="46.5" hidden="1" customHeight="1" x14ac:dyDescent="0.25">
      <c r="A8" s="1060" t="s">
        <v>21</v>
      </c>
      <c r="B8" s="1060" t="s">
        <v>3</v>
      </c>
      <c r="C8" s="1067" t="s">
        <v>20</v>
      </c>
      <c r="D8" s="1068"/>
      <c r="E8" s="1068"/>
      <c r="F8" s="1069"/>
    </row>
    <row r="9" spans="1:8" hidden="1" x14ac:dyDescent="0.25">
      <c r="A9" s="1061"/>
      <c r="B9" s="1063"/>
      <c r="C9" s="18"/>
      <c r="D9" s="19" t="s">
        <v>27</v>
      </c>
      <c r="E9" s="20"/>
      <c r="F9" s="21" t="s">
        <v>22</v>
      </c>
      <c r="G9" s="2"/>
    </row>
    <row r="10" spans="1:8" ht="44.25" hidden="1" customHeight="1" x14ac:dyDescent="0.25">
      <c r="A10" s="1062"/>
      <c r="B10" s="1064"/>
      <c r="C10" s="1065" t="s">
        <v>28</v>
      </c>
      <c r="D10" s="1066"/>
      <c r="E10" s="1070" t="s">
        <v>34</v>
      </c>
      <c r="F10" s="1071"/>
      <c r="G10" s="2"/>
    </row>
    <row r="11" spans="1:8" hidden="1" x14ac:dyDescent="0.25">
      <c r="A11" s="22"/>
      <c r="B11" s="22"/>
      <c r="C11" s="23"/>
      <c r="D11" s="24"/>
      <c r="E11" s="23"/>
      <c r="F11" s="24"/>
    </row>
    <row r="12" spans="1:8" hidden="1" x14ac:dyDescent="0.25">
      <c r="A12" s="22" t="s">
        <v>4</v>
      </c>
      <c r="B12" s="25">
        <v>12000</v>
      </c>
      <c r="C12" s="26"/>
      <c r="D12" s="27">
        <v>12000</v>
      </c>
      <c r="E12" s="26"/>
      <c r="F12" s="27">
        <v>12000</v>
      </c>
    </row>
    <row r="13" spans="1:8" hidden="1" x14ac:dyDescent="0.25">
      <c r="A13" s="22" t="s">
        <v>5</v>
      </c>
      <c r="B13" s="28">
        <f>-B12*6%</f>
        <v>-720</v>
      </c>
      <c r="C13" s="29"/>
      <c r="D13" s="30">
        <f>-D12*6%</f>
        <v>-720</v>
      </c>
      <c r="E13" s="29"/>
      <c r="F13" s="30">
        <f>-F12*6%</f>
        <v>-720</v>
      </c>
    </row>
    <row r="14" spans="1:8" hidden="1" x14ac:dyDescent="0.25">
      <c r="A14" s="22" t="s">
        <v>6</v>
      </c>
      <c r="B14" s="28">
        <f>-B12*4%</f>
        <v>-480</v>
      </c>
      <c r="C14" s="29"/>
      <c r="D14" s="30">
        <f>-D12*4%</f>
        <v>-480</v>
      </c>
      <c r="E14" s="29"/>
      <c r="F14" s="30">
        <f>-F12*4%</f>
        <v>-480</v>
      </c>
    </row>
    <row r="15" spans="1:8" hidden="1" x14ac:dyDescent="0.25">
      <c r="A15" s="22" t="s">
        <v>7</v>
      </c>
      <c r="B15" s="28">
        <v>0</v>
      </c>
      <c r="C15" s="29"/>
      <c r="D15" s="250">
        <f>-(D12*18%)-D13</f>
        <v>-1440</v>
      </c>
      <c r="E15" s="29"/>
      <c r="F15" s="30">
        <v>-2880</v>
      </c>
    </row>
    <row r="16" spans="1:8" hidden="1" x14ac:dyDescent="0.25">
      <c r="A16" s="22" t="s">
        <v>8</v>
      </c>
      <c r="B16" s="28">
        <v>0</v>
      </c>
      <c r="C16" s="29"/>
      <c r="D16" s="30">
        <f>-16*26.841</f>
        <v>-429.45600000000002</v>
      </c>
      <c r="E16" s="29"/>
      <c r="F16" s="30">
        <f>-16*26.841</f>
        <v>-429.45600000000002</v>
      </c>
    </row>
    <row r="17" spans="1:8" hidden="1" x14ac:dyDescent="0.25">
      <c r="A17" s="22" t="s">
        <v>23</v>
      </c>
      <c r="B17" s="28">
        <v>0</v>
      </c>
      <c r="C17" s="29"/>
      <c r="D17" s="250">
        <f>-1210-260</f>
        <v>-1470</v>
      </c>
      <c r="E17" s="29"/>
      <c r="F17" s="30">
        <v>-2684</v>
      </c>
    </row>
    <row r="18" spans="1:8" hidden="1" x14ac:dyDescent="0.25">
      <c r="A18" s="22" t="s">
        <v>14</v>
      </c>
      <c r="B18" s="31">
        <v>0</v>
      </c>
      <c r="C18" s="29"/>
      <c r="D18" s="32">
        <f>-32*26.841</f>
        <v>-858.91200000000003</v>
      </c>
      <c r="E18" s="29"/>
      <c r="F18" s="32">
        <f>-32*26.841</f>
        <v>-858.91200000000003</v>
      </c>
    </row>
    <row r="19" spans="1:8" hidden="1" x14ac:dyDescent="0.25">
      <c r="A19" s="22" t="s">
        <v>9</v>
      </c>
      <c r="B19" s="28">
        <f>SUM(B12:B18)</f>
        <v>10800</v>
      </c>
      <c r="C19" s="29"/>
      <c r="D19" s="30">
        <f>+D21-D20</f>
        <v>6601.6078571428579</v>
      </c>
      <c r="E19" s="29"/>
      <c r="F19" s="30">
        <f>SUM(F12:F18)</f>
        <v>3947.6319999999996</v>
      </c>
    </row>
    <row r="20" spans="1:8" hidden="1" x14ac:dyDescent="0.25">
      <c r="A20" s="22" t="s">
        <v>16</v>
      </c>
      <c r="B20" s="31">
        <v>0</v>
      </c>
      <c r="C20" s="29"/>
      <c r="D20" s="32">
        <f>-D21*25%/75%</f>
        <v>-1650.4019642857145</v>
      </c>
      <c r="E20" s="29"/>
      <c r="F20" s="32">
        <f>-F19*25%</f>
        <v>-986.9079999999999</v>
      </c>
    </row>
    <row r="21" spans="1:8" hidden="1" x14ac:dyDescent="0.25">
      <c r="A21" s="22" t="s">
        <v>10</v>
      </c>
      <c r="B21" s="28">
        <f>+B19+B20</f>
        <v>10800</v>
      </c>
      <c r="C21" s="29"/>
      <c r="D21" s="30">
        <f>+D22*26.841</f>
        <v>4951.2058928571432</v>
      </c>
      <c r="E21" s="29"/>
      <c r="F21" s="30">
        <f>+F19+F20</f>
        <v>2960.7239999999997</v>
      </c>
    </row>
    <row r="22" spans="1:8" hidden="1" x14ac:dyDescent="0.25">
      <c r="A22" s="22" t="s">
        <v>11</v>
      </c>
      <c r="B22" s="33">
        <f>+B21/26.841</f>
        <v>402.36950933273721</v>
      </c>
      <c r="C22" s="34"/>
      <c r="D22" s="177">
        <f>+((((19.65)-10)/0.28)+150)</f>
        <v>184.46428571428572</v>
      </c>
      <c r="E22" s="34"/>
      <c r="F22" s="35">
        <f>+F21/26.841</f>
        <v>110.30602436570916</v>
      </c>
    </row>
    <row r="23" spans="1:8" hidden="1" x14ac:dyDescent="0.25">
      <c r="A23" s="22" t="s">
        <v>12</v>
      </c>
      <c r="B23" s="33">
        <v>19.649999999999999</v>
      </c>
      <c r="C23" s="34"/>
      <c r="D23" s="36">
        <v>19.649999999999999</v>
      </c>
      <c r="E23" s="34"/>
      <c r="F23" s="35">
        <f>+((F22-95)*19%)</f>
        <v>2.9081446294847408</v>
      </c>
    </row>
    <row r="24" spans="1:8" hidden="1" x14ac:dyDescent="0.25">
      <c r="A24" s="3" t="s">
        <v>24</v>
      </c>
      <c r="B24" s="247">
        <f>(B23*26.841)</f>
        <v>527.42565000000002</v>
      </c>
      <c r="C24" s="248"/>
      <c r="D24" s="249">
        <v>527</v>
      </c>
      <c r="E24" s="248"/>
      <c r="F24" s="249">
        <f>(F23*26.841)</f>
        <v>78.057509999999937</v>
      </c>
    </row>
    <row r="25" spans="1:8" hidden="1" x14ac:dyDescent="0.25">
      <c r="A25" s="22" t="s">
        <v>13</v>
      </c>
      <c r="B25" s="37">
        <f>+B24/B12</f>
        <v>4.3952137500000002E-2</v>
      </c>
      <c r="C25" s="38"/>
      <c r="D25" s="39">
        <v>4.3999999999999997E-2</v>
      </c>
      <c r="E25" s="78"/>
      <c r="F25" s="39">
        <f>+F24/F12</f>
        <v>6.5047924999999951E-3</v>
      </c>
    </row>
    <row r="26" spans="1:8" hidden="1" x14ac:dyDescent="0.25">
      <c r="A26" s="22"/>
      <c r="B26" s="37"/>
      <c r="C26" s="38"/>
      <c r="D26" s="39"/>
      <c r="E26" s="38"/>
      <c r="F26" s="39"/>
    </row>
    <row r="27" spans="1:8" hidden="1" x14ac:dyDescent="0.25">
      <c r="A27" s="40" t="s">
        <v>29</v>
      </c>
      <c r="B27" s="41"/>
      <c r="C27" s="42"/>
      <c r="D27" s="43"/>
      <c r="E27" s="42"/>
      <c r="F27" s="44"/>
    </row>
    <row r="28" spans="1:8" hidden="1" x14ac:dyDescent="0.25">
      <c r="A28" s="5" t="s">
        <v>30</v>
      </c>
      <c r="B28" s="127">
        <f>-(B13+B14+B15+B16+B17+B18+B20)/B12</f>
        <v>0.1</v>
      </c>
      <c r="C28" s="6"/>
      <c r="D28" s="7">
        <f>-(D13+D14+D15+D16+D17+D18+D20)/D12</f>
        <v>0.58739749702380961</v>
      </c>
      <c r="E28" s="8"/>
      <c r="F28" s="9">
        <f>-(F13+F14+F15+F16+F17+F18+F20)/F12</f>
        <v>0.75327299999999997</v>
      </c>
    </row>
    <row r="29" spans="1:8" hidden="1" x14ac:dyDescent="0.25">
      <c r="A29" s="22" t="s">
        <v>31</v>
      </c>
      <c r="B29" s="22" t="s">
        <v>17</v>
      </c>
      <c r="C29" s="23"/>
      <c r="D29" s="46">
        <v>0.18</v>
      </c>
      <c r="E29" s="23"/>
      <c r="F29" s="47">
        <v>0.3</v>
      </c>
    </row>
    <row r="30" spans="1:8" hidden="1" x14ac:dyDescent="0.25">
      <c r="A30" s="48" t="s">
        <v>32</v>
      </c>
      <c r="B30" s="22" t="s">
        <v>17</v>
      </c>
      <c r="C30" s="23"/>
      <c r="D30" s="46">
        <f>-D17/D12</f>
        <v>0.1225</v>
      </c>
      <c r="E30" s="23"/>
      <c r="F30" s="47">
        <f>-F17/F12</f>
        <v>0.22366666666666668</v>
      </c>
    </row>
    <row r="31" spans="1:8" ht="18" hidden="1" x14ac:dyDescent="0.25">
      <c r="A31" s="49" t="s">
        <v>33</v>
      </c>
      <c r="B31" s="49"/>
      <c r="C31" s="50"/>
      <c r="D31" s="51" t="s">
        <v>15</v>
      </c>
      <c r="E31" s="52"/>
      <c r="F31" s="53" t="s">
        <v>15</v>
      </c>
      <c r="H31" s="125">
        <v>6</v>
      </c>
    </row>
    <row r="32" spans="1:8" hidden="1" x14ac:dyDescent="0.25"/>
    <row r="33" spans="1:8" hidden="1" x14ac:dyDescent="0.25"/>
    <row r="34" spans="1:8" ht="15.75" hidden="1" x14ac:dyDescent="0.25">
      <c r="A34" s="1058" t="s">
        <v>42</v>
      </c>
      <c r="B34" s="1058"/>
      <c r="C34" s="1058"/>
      <c r="D34" s="1058"/>
      <c r="E34" s="1058"/>
      <c r="F34" s="1058"/>
      <c r="H34" s="126"/>
    </row>
    <row r="35" spans="1:8" ht="15.75" hidden="1" x14ac:dyDescent="0.25">
      <c r="A35" s="1058" t="s">
        <v>43</v>
      </c>
      <c r="B35" s="1058"/>
      <c r="C35" s="1058"/>
      <c r="D35" s="1058"/>
      <c r="E35" s="1058"/>
      <c r="F35" s="1058"/>
    </row>
    <row r="36" spans="1:8" ht="15.75" hidden="1" x14ac:dyDescent="0.25">
      <c r="A36" s="1059" t="s">
        <v>35</v>
      </c>
      <c r="B36" s="1059"/>
      <c r="C36" s="1059"/>
      <c r="D36" s="1059"/>
      <c r="E36" s="1059"/>
      <c r="F36" s="1059"/>
    </row>
    <row r="37" spans="1:8" ht="15.75" hidden="1" x14ac:dyDescent="0.25">
      <c r="A37" s="4"/>
      <c r="B37" s="4"/>
      <c r="C37" s="4"/>
      <c r="D37" s="4"/>
      <c r="E37" s="4"/>
      <c r="F37" s="4"/>
    </row>
    <row r="38" spans="1:8" ht="51" hidden="1" customHeight="1" x14ac:dyDescent="0.25">
      <c r="A38" s="1060" t="s">
        <v>21</v>
      </c>
      <c r="B38" s="1060" t="s">
        <v>3</v>
      </c>
      <c r="C38" s="1072" t="s">
        <v>20</v>
      </c>
      <c r="D38" s="1073"/>
      <c r="E38" s="1073"/>
      <c r="F38" s="1074"/>
    </row>
    <row r="39" spans="1:8" hidden="1" x14ac:dyDescent="0.25">
      <c r="A39" s="1061"/>
      <c r="B39" s="1061"/>
      <c r="C39" s="18"/>
      <c r="D39" s="19" t="s">
        <v>27</v>
      </c>
      <c r="E39" s="20"/>
      <c r="F39" s="21" t="s">
        <v>22</v>
      </c>
    </row>
    <row r="40" spans="1:8" ht="43.5" hidden="1" customHeight="1" x14ac:dyDescent="0.25">
      <c r="A40" s="1061"/>
      <c r="B40" s="1061"/>
      <c r="C40" s="1075" t="s">
        <v>28</v>
      </c>
      <c r="D40" s="1076"/>
      <c r="E40" s="1070" t="s">
        <v>34</v>
      </c>
      <c r="F40" s="1071"/>
    </row>
    <row r="41" spans="1:8" hidden="1" x14ac:dyDescent="0.25">
      <c r="A41" s="54"/>
      <c r="B41" s="54"/>
      <c r="C41" s="20"/>
      <c r="D41" s="21"/>
      <c r="E41" s="55"/>
      <c r="F41" s="56"/>
    </row>
    <row r="42" spans="1:8" hidden="1" x14ac:dyDescent="0.25">
      <c r="A42" s="45" t="s">
        <v>4</v>
      </c>
      <c r="B42" s="57">
        <f>+B12*12</f>
        <v>144000</v>
      </c>
      <c r="C42" s="58"/>
      <c r="D42" s="59">
        <f>+D12*12</f>
        <v>144000</v>
      </c>
      <c r="E42" s="58"/>
      <c r="F42" s="59">
        <f>+F12*12</f>
        <v>144000</v>
      </c>
    </row>
    <row r="43" spans="1:8" hidden="1" x14ac:dyDescent="0.25">
      <c r="A43" s="22" t="s">
        <v>19</v>
      </c>
      <c r="B43" s="61">
        <f>B13*12</f>
        <v>-8640</v>
      </c>
      <c r="C43" s="58"/>
      <c r="D43" s="62">
        <f>D13*12</f>
        <v>-8640</v>
      </c>
      <c r="E43" s="58"/>
      <c r="F43" s="62">
        <f>F13*12</f>
        <v>-8640</v>
      </c>
    </row>
    <row r="44" spans="1:8" hidden="1" x14ac:dyDescent="0.25">
      <c r="A44" s="22" t="s">
        <v>6</v>
      </c>
      <c r="B44" s="61">
        <f>+B14*12</f>
        <v>-5760</v>
      </c>
      <c r="C44" s="58"/>
      <c r="D44" s="62">
        <f>+D14*12</f>
        <v>-5760</v>
      </c>
      <c r="E44" s="58"/>
      <c r="F44" s="62">
        <f>+F14*12</f>
        <v>-5760</v>
      </c>
    </row>
    <row r="45" spans="1:8" hidden="1" x14ac:dyDescent="0.25">
      <c r="A45" s="45" t="s">
        <v>7</v>
      </c>
      <c r="B45" s="61">
        <f>+B15*12</f>
        <v>0</v>
      </c>
      <c r="C45" s="58"/>
      <c r="D45" s="62">
        <f>+D15*12</f>
        <v>-17280</v>
      </c>
      <c r="E45" s="58"/>
      <c r="F45" s="62">
        <f>+F15*12</f>
        <v>-34560</v>
      </c>
    </row>
    <row r="46" spans="1:8" hidden="1" x14ac:dyDescent="0.25">
      <c r="A46" s="45" t="s">
        <v>8</v>
      </c>
      <c r="B46" s="61">
        <f>+B16*12</f>
        <v>0</v>
      </c>
      <c r="C46" s="58"/>
      <c r="D46" s="62">
        <f>+D16*12</f>
        <v>-5153.4719999999998</v>
      </c>
      <c r="E46" s="58"/>
      <c r="F46" s="62">
        <f>+F16*12</f>
        <v>-5153.4719999999998</v>
      </c>
    </row>
    <row r="47" spans="1:8" hidden="1" x14ac:dyDescent="0.25">
      <c r="A47" s="45" t="s">
        <v>23</v>
      </c>
      <c r="B47" s="61">
        <f>+B17*12</f>
        <v>0</v>
      </c>
      <c r="C47" s="58"/>
      <c r="D47" s="62">
        <f>+D17*12</f>
        <v>-17640</v>
      </c>
      <c r="E47" s="58"/>
      <c r="F47" s="62">
        <f>+F17*12</f>
        <v>-32208</v>
      </c>
    </row>
    <row r="48" spans="1:8" hidden="1" x14ac:dyDescent="0.25">
      <c r="A48" s="45" t="s">
        <v>14</v>
      </c>
      <c r="B48" s="64">
        <f>+B18*12</f>
        <v>0</v>
      </c>
      <c r="C48" s="63"/>
      <c r="D48" s="65">
        <f>+D18*12</f>
        <v>-10306.944</v>
      </c>
      <c r="E48" s="58"/>
      <c r="F48" s="65">
        <f>+F18*12</f>
        <v>-10306.944</v>
      </c>
    </row>
    <row r="49" spans="1:8" hidden="1" x14ac:dyDescent="0.25">
      <c r="A49" s="45" t="s">
        <v>9</v>
      </c>
      <c r="B49" s="61">
        <f>SUM(B42:B48)</f>
        <v>129600</v>
      </c>
      <c r="C49" s="58"/>
      <c r="D49" s="62">
        <f>SUM(D42:D48)</f>
        <v>79219.584000000003</v>
      </c>
      <c r="E49" s="63"/>
      <c r="F49" s="62">
        <f>SUM(F42:F48)</f>
        <v>47371.584000000003</v>
      </c>
    </row>
    <row r="50" spans="1:8" hidden="1" x14ac:dyDescent="0.25">
      <c r="A50" s="45" t="s">
        <v>18</v>
      </c>
      <c r="B50" s="64">
        <f>+B20*12</f>
        <v>0</v>
      </c>
      <c r="C50" s="63"/>
      <c r="D50" s="65">
        <f>+D20*12</f>
        <v>-19804.823571428573</v>
      </c>
      <c r="E50" s="58"/>
      <c r="F50" s="65">
        <f>+F20*12</f>
        <v>-11842.895999999999</v>
      </c>
    </row>
    <row r="51" spans="1:8" hidden="1" x14ac:dyDescent="0.25">
      <c r="A51" s="256" t="s">
        <v>10</v>
      </c>
      <c r="B51" s="61">
        <f>SUM(B49:B50)</f>
        <v>129600</v>
      </c>
      <c r="C51" s="63"/>
      <c r="D51" s="62">
        <f>SUM(D49:D50)</f>
        <v>59414.760428571433</v>
      </c>
      <c r="E51" s="63"/>
      <c r="F51" s="62">
        <f>SUM(F49:F50)</f>
        <v>35528.688000000002</v>
      </c>
    </row>
    <row r="52" spans="1:8" hidden="1" x14ac:dyDescent="0.25">
      <c r="A52" s="45" t="s">
        <v>11</v>
      </c>
      <c r="B52" s="66">
        <f>+B51/26.841</f>
        <v>4828.4341119928467</v>
      </c>
      <c r="C52" s="58"/>
      <c r="D52" s="67">
        <f>+D51/26.841</f>
        <v>2213.582222293187</v>
      </c>
      <c r="E52" s="58"/>
      <c r="F52" s="68">
        <f>+F51/26.841</f>
        <v>1323.6722923885102</v>
      </c>
    </row>
    <row r="53" spans="1:8" hidden="1" x14ac:dyDescent="0.25">
      <c r="A53" s="45" t="s">
        <v>36</v>
      </c>
      <c r="B53" s="66">
        <v>235.75</v>
      </c>
      <c r="C53" s="58"/>
      <c r="D53" s="252">
        <f>+(((D52-1700)*28%)+116)</f>
        <v>259.80302224209237</v>
      </c>
      <c r="E53" s="58"/>
      <c r="F53" s="67">
        <f>+((F52-1090)*19%)</f>
        <v>44.397735553816936</v>
      </c>
    </row>
    <row r="54" spans="1:8" hidden="1" x14ac:dyDescent="0.25">
      <c r="A54" s="5" t="s">
        <v>37</v>
      </c>
      <c r="B54" s="12">
        <f>+B53*26.841</f>
        <v>6327.7657500000005</v>
      </c>
      <c r="C54" s="13"/>
      <c r="D54" s="14">
        <f>+D53*26.841</f>
        <v>6973.3729200000016</v>
      </c>
      <c r="E54" s="11"/>
      <c r="F54" s="14">
        <f>+F53*26.841</f>
        <v>1191.6796200000003</v>
      </c>
    </row>
    <row r="55" spans="1:8" hidden="1" x14ac:dyDescent="0.25">
      <c r="A55" s="5" t="s">
        <v>38</v>
      </c>
      <c r="B55" s="12">
        <v>0</v>
      </c>
      <c r="C55" s="13"/>
      <c r="D55" s="14">
        <v>0</v>
      </c>
      <c r="E55" s="11"/>
      <c r="F55" s="17">
        <f>+B54-F54</f>
        <v>5136.0861299999997</v>
      </c>
    </row>
    <row r="56" spans="1:8" hidden="1" x14ac:dyDescent="0.25">
      <c r="A56" s="5" t="s">
        <v>24</v>
      </c>
      <c r="B56" s="12">
        <v>-6328</v>
      </c>
      <c r="C56" s="11"/>
      <c r="D56" s="14">
        <v>-6328</v>
      </c>
      <c r="E56" s="11"/>
      <c r="F56" s="14">
        <f>-78*12</f>
        <v>-936</v>
      </c>
    </row>
    <row r="57" spans="1:8" hidden="1" x14ac:dyDescent="0.25">
      <c r="A57" s="5" t="s">
        <v>39</v>
      </c>
      <c r="B57" s="15"/>
      <c r="C57" s="11"/>
      <c r="D57" s="16">
        <f>$B$56-D56</f>
        <v>0</v>
      </c>
      <c r="E57" s="11"/>
      <c r="F57" s="16">
        <f>+B56-F56</f>
        <v>-5392</v>
      </c>
    </row>
    <row r="58" spans="1:8" hidden="1" x14ac:dyDescent="0.25">
      <c r="A58" s="71" t="s">
        <v>40</v>
      </c>
      <c r="B58" s="72">
        <f>SUM(B54:B57)+0.5</f>
        <v>0.26575000000048021</v>
      </c>
      <c r="C58" s="58"/>
      <c r="D58" s="73">
        <f>SUM(D54:D57)+0.5</f>
        <v>645.87292000000161</v>
      </c>
      <c r="E58" s="58"/>
      <c r="F58" s="257">
        <f>SUM(F54:F57)+0.5</f>
        <v>0.26575000000048021</v>
      </c>
    </row>
    <row r="59" spans="1:8" hidden="1" x14ac:dyDescent="0.25">
      <c r="A59" s="45"/>
      <c r="B59" s="61"/>
      <c r="C59" s="58"/>
      <c r="D59" s="69"/>
      <c r="E59" s="58"/>
      <c r="F59" s="69"/>
    </row>
    <row r="60" spans="1:8" hidden="1" x14ac:dyDescent="0.25">
      <c r="A60" s="74" t="s">
        <v>41</v>
      </c>
      <c r="B60" s="75">
        <f>+B54/B42</f>
        <v>4.3942817708333339E-2</v>
      </c>
      <c r="C60" s="76"/>
      <c r="D60" s="77">
        <f>+D54/D42</f>
        <v>4.8426200833333342E-2</v>
      </c>
      <c r="E60" s="76"/>
      <c r="F60" s="77">
        <f>+F54/F42</f>
        <v>8.2755529166666682E-3</v>
      </c>
    </row>
    <row r="61" spans="1:8" hidden="1" x14ac:dyDescent="0.25"/>
    <row r="62" spans="1:8" hidden="1" x14ac:dyDescent="0.25"/>
    <row r="63" spans="1:8" ht="18" hidden="1" x14ac:dyDescent="0.25">
      <c r="H63" s="125">
        <v>7</v>
      </c>
    </row>
    <row r="64" spans="1: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sheetData>
  <sheetProtection password="941B" sheet="1"/>
  <mergeCells count="15">
    <mergeCell ref="A34:F34"/>
    <mergeCell ref="A35:F35"/>
    <mergeCell ref="A36:F36"/>
    <mergeCell ref="A38:A40"/>
    <mergeCell ref="B38:B40"/>
    <mergeCell ref="C38:F38"/>
    <mergeCell ref="C40:D40"/>
    <mergeCell ref="E40:F40"/>
    <mergeCell ref="A1:F1"/>
    <mergeCell ref="A2:F2"/>
    <mergeCell ref="A8:A10"/>
    <mergeCell ref="B8:B10"/>
    <mergeCell ref="C10:D10"/>
    <mergeCell ref="C8:F8"/>
    <mergeCell ref="E10:F10"/>
  </mergeCells>
  <pageMargins left="1.1023622047244095" right="0.70866141732283472" top="0.74803149606299213" bottom="0.55118110236220474" header="0.31496062992125984" footer="0.31496062992125984"/>
  <pageSetup scale="95" orientation="landscape" r:id="rId1"/>
  <ignoredErrors>
    <ignoredError sqref="B49:F49 F56 B43:F43" formula="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H76"/>
  <sheetViews>
    <sheetView topLeftCell="A77" workbookViewId="0">
      <selection sqref="A1:F1"/>
    </sheetView>
  </sheetViews>
  <sheetFormatPr baseColWidth="10" defaultRowHeight="15" x14ac:dyDescent="0.25"/>
  <cols>
    <col min="1" max="1" width="59.5703125" style="10" customWidth="1"/>
    <col min="2" max="2" width="11.42578125" style="10"/>
    <col min="3" max="3" width="2" style="10" customWidth="1"/>
    <col min="4" max="4" width="12.7109375" style="10" customWidth="1"/>
    <col min="5" max="5" width="1.85546875" style="10" customWidth="1"/>
    <col min="6" max="6" width="10.5703125" style="10" customWidth="1"/>
    <col min="7" max="7" width="11.42578125" style="10"/>
    <col min="8" max="8" width="11.42578125" style="126"/>
    <col min="9" max="16384" width="11.42578125" style="10"/>
  </cols>
  <sheetData>
    <row r="1" spans="1:8" ht="30.75" hidden="1" customHeight="1" x14ac:dyDescent="0.25">
      <c r="A1" s="1077" t="s">
        <v>25</v>
      </c>
      <c r="B1" s="1077"/>
      <c r="C1" s="1077"/>
      <c r="D1" s="1077"/>
      <c r="E1" s="1077"/>
      <c r="F1" s="1077"/>
      <c r="H1" s="123"/>
    </row>
    <row r="2" spans="1:8" hidden="1" x14ac:dyDescent="0.25">
      <c r="A2" s="1078" t="s">
        <v>26</v>
      </c>
      <c r="B2" s="1078"/>
      <c r="C2" s="1078"/>
      <c r="D2" s="1078"/>
      <c r="E2" s="1078"/>
      <c r="F2" s="1078"/>
    </row>
    <row r="3" spans="1:8" hidden="1" x14ac:dyDescent="0.25">
      <c r="A3" s="95"/>
      <c r="B3" s="95"/>
      <c r="C3" s="95"/>
      <c r="D3" s="95"/>
      <c r="E3" s="95"/>
      <c r="F3" s="95"/>
    </row>
    <row r="4" spans="1:8" hidden="1" x14ac:dyDescent="0.25">
      <c r="A4" s="95"/>
      <c r="B4" s="95"/>
      <c r="C4" s="95"/>
      <c r="D4" s="95"/>
      <c r="E4" s="95"/>
      <c r="F4" s="95"/>
    </row>
    <row r="5" spans="1:8" hidden="1" x14ac:dyDescent="0.25">
      <c r="A5" s="95" t="s">
        <v>0</v>
      </c>
      <c r="B5" s="96">
        <v>16000</v>
      </c>
      <c r="C5" s="96"/>
      <c r="D5" s="95" t="s">
        <v>1</v>
      </c>
      <c r="E5" s="95"/>
      <c r="F5" s="95"/>
    </row>
    <row r="6" spans="1:8" hidden="1" x14ac:dyDescent="0.25">
      <c r="A6" s="95" t="s">
        <v>2</v>
      </c>
      <c r="B6" s="96">
        <v>26841</v>
      </c>
      <c r="C6" s="96"/>
      <c r="D6" s="95"/>
      <c r="E6" s="95"/>
      <c r="F6" s="95"/>
    </row>
    <row r="7" spans="1:8" hidden="1" x14ac:dyDescent="0.25">
      <c r="A7" s="95"/>
      <c r="B7" s="95"/>
      <c r="C7" s="95"/>
      <c r="D7" s="95"/>
      <c r="E7" s="95"/>
      <c r="F7" s="95"/>
    </row>
    <row r="8" spans="1:8" ht="46.5" hidden="1" customHeight="1" x14ac:dyDescent="0.25">
      <c r="A8" s="1060" t="s">
        <v>21</v>
      </c>
      <c r="B8" s="1060" t="s">
        <v>3</v>
      </c>
      <c r="C8" s="1067" t="s">
        <v>20</v>
      </c>
      <c r="D8" s="1068"/>
      <c r="E8" s="1068"/>
      <c r="F8" s="1069"/>
    </row>
    <row r="9" spans="1:8" hidden="1" x14ac:dyDescent="0.25">
      <c r="A9" s="1061"/>
      <c r="B9" s="1063"/>
      <c r="C9" s="18"/>
      <c r="D9" s="19" t="s">
        <v>27</v>
      </c>
      <c r="E9" s="20"/>
      <c r="F9" s="21" t="s">
        <v>22</v>
      </c>
      <c r="G9" s="92"/>
    </row>
    <row r="10" spans="1:8" ht="45.75" hidden="1" customHeight="1" x14ac:dyDescent="0.25">
      <c r="A10" s="1062"/>
      <c r="B10" s="1064"/>
      <c r="C10" s="1065" t="s">
        <v>28</v>
      </c>
      <c r="D10" s="1066"/>
      <c r="E10" s="1070" t="s">
        <v>34</v>
      </c>
      <c r="F10" s="1071"/>
      <c r="G10" s="92"/>
    </row>
    <row r="11" spans="1:8" hidden="1" x14ac:dyDescent="0.25">
      <c r="A11" s="45"/>
      <c r="B11" s="45"/>
      <c r="C11" s="58"/>
      <c r="D11" s="69"/>
      <c r="E11" s="58"/>
      <c r="F11" s="69"/>
    </row>
    <row r="12" spans="1:8" hidden="1" x14ac:dyDescent="0.25">
      <c r="A12" s="45" t="s">
        <v>4</v>
      </c>
      <c r="B12" s="57">
        <v>16000</v>
      </c>
      <c r="C12" s="60"/>
      <c r="D12" s="59">
        <v>16000</v>
      </c>
      <c r="E12" s="60"/>
      <c r="F12" s="59">
        <v>16000</v>
      </c>
    </row>
    <row r="13" spans="1:8" hidden="1" x14ac:dyDescent="0.25">
      <c r="A13" s="45" t="s">
        <v>46</v>
      </c>
      <c r="B13" s="61">
        <f>(-25*589.5)*6%</f>
        <v>-884.25</v>
      </c>
      <c r="C13" s="63"/>
      <c r="D13" s="62">
        <f>-25*589.5*6%</f>
        <v>-884.25</v>
      </c>
      <c r="E13" s="63"/>
      <c r="F13" s="62">
        <f>-25*589.5*6%</f>
        <v>-884.25</v>
      </c>
    </row>
    <row r="14" spans="1:8" hidden="1" x14ac:dyDescent="0.25">
      <c r="A14" s="45" t="s">
        <v>47</v>
      </c>
      <c r="B14" s="61">
        <f>-25*589.5*4%</f>
        <v>-589.5</v>
      </c>
      <c r="C14" s="63"/>
      <c r="D14" s="62">
        <f>-25*589.5*4%</f>
        <v>-589.5</v>
      </c>
      <c r="E14" s="63"/>
      <c r="F14" s="62">
        <f>-25*589.5*4%</f>
        <v>-589.5</v>
      </c>
    </row>
    <row r="15" spans="1:8" hidden="1" x14ac:dyDescent="0.25">
      <c r="A15" s="45" t="s">
        <v>7</v>
      </c>
      <c r="B15" s="61">
        <v>0</v>
      </c>
      <c r="C15" s="63"/>
      <c r="D15" s="62">
        <f>-(D12*18%)-D13</f>
        <v>-1995.75</v>
      </c>
      <c r="E15" s="63"/>
      <c r="F15" s="62">
        <f>-(F12*F29)-F13</f>
        <v>-3915.75</v>
      </c>
    </row>
    <row r="16" spans="1:8" hidden="1" x14ac:dyDescent="0.25">
      <c r="A16" s="45" t="s">
        <v>8</v>
      </c>
      <c r="B16" s="61">
        <v>0</v>
      </c>
      <c r="C16" s="63"/>
      <c r="D16" s="62">
        <f>-16*26.841</f>
        <v>-429.45600000000002</v>
      </c>
      <c r="E16" s="63"/>
      <c r="F16" s="62">
        <f>-16*26.841</f>
        <v>-429.45600000000002</v>
      </c>
    </row>
    <row r="17" spans="1:8" hidden="1" x14ac:dyDescent="0.25">
      <c r="A17" s="45" t="s">
        <v>23</v>
      </c>
      <c r="B17" s="61">
        <v>0</v>
      </c>
      <c r="C17" s="63"/>
      <c r="D17" s="62">
        <f>-1874-352</f>
        <v>-2226</v>
      </c>
      <c r="E17" s="63"/>
      <c r="F17" s="62">
        <v>-2684</v>
      </c>
    </row>
    <row r="18" spans="1:8" hidden="1" x14ac:dyDescent="0.25">
      <c r="A18" s="45" t="s">
        <v>14</v>
      </c>
      <c r="B18" s="64">
        <v>0</v>
      </c>
      <c r="C18" s="63"/>
      <c r="D18" s="65">
        <f>-32*26.841</f>
        <v>-858.91200000000003</v>
      </c>
      <c r="E18" s="63"/>
      <c r="F18" s="65">
        <f>-32*26.841</f>
        <v>-858.91200000000003</v>
      </c>
    </row>
    <row r="19" spans="1:8" hidden="1" x14ac:dyDescent="0.25">
      <c r="A19" s="45" t="s">
        <v>9</v>
      </c>
      <c r="B19" s="61">
        <f>SUM(B12:B18)</f>
        <v>14526.25</v>
      </c>
      <c r="C19" s="63"/>
      <c r="D19" s="62">
        <f>+D21-D20</f>
        <v>9016.0197142857141</v>
      </c>
      <c r="E19" s="63"/>
      <c r="F19" s="62">
        <f>SUM(F12:F18)</f>
        <v>6638.1319999999996</v>
      </c>
    </row>
    <row r="20" spans="1:8" hidden="1" x14ac:dyDescent="0.25">
      <c r="A20" s="45" t="s">
        <v>18</v>
      </c>
      <c r="B20" s="64">
        <v>0</v>
      </c>
      <c r="C20" s="63"/>
      <c r="D20" s="65">
        <f>-D21*25%/75%</f>
        <v>-2254.0049285714285</v>
      </c>
      <c r="E20" s="63"/>
      <c r="F20" s="65">
        <f>-F19*25%</f>
        <v>-1659.5329999999999</v>
      </c>
    </row>
    <row r="21" spans="1:8" hidden="1" x14ac:dyDescent="0.25">
      <c r="A21" s="45" t="s">
        <v>10</v>
      </c>
      <c r="B21" s="61">
        <f>+B19+B20</f>
        <v>14526.25</v>
      </c>
      <c r="C21" s="63"/>
      <c r="D21" s="62">
        <f>+D22*26.841</f>
        <v>6762.0147857142856</v>
      </c>
      <c r="E21" s="63"/>
      <c r="F21" s="62">
        <f>+F19+F20</f>
        <v>4978.5990000000002</v>
      </c>
      <c r="G21" s="10">
        <f>+F21*1000</f>
        <v>4978599</v>
      </c>
    </row>
    <row r="22" spans="1:8" hidden="1" x14ac:dyDescent="0.25">
      <c r="A22" s="45" t="s">
        <v>11</v>
      </c>
      <c r="B22" s="66">
        <f>+B21/26.841</f>
        <v>541.19630416154394</v>
      </c>
      <c r="C22" s="70"/>
      <c r="D22" s="67">
        <f>+((((D23)-10)/0.28)+150)</f>
        <v>251.92857142857142</v>
      </c>
      <c r="E22" s="70"/>
      <c r="F22" s="67">
        <f>+F21/26.841</f>
        <v>185.48485525874594</v>
      </c>
      <c r="G22" s="10">
        <f>+G21/26841</f>
        <v>185.48485525874594</v>
      </c>
    </row>
    <row r="23" spans="1:8" hidden="1" x14ac:dyDescent="0.25">
      <c r="A23" s="45" t="s">
        <v>12</v>
      </c>
      <c r="B23" s="66">
        <v>38.54</v>
      </c>
      <c r="C23" s="70"/>
      <c r="D23" s="68">
        <f>+B23</f>
        <v>38.54</v>
      </c>
      <c r="E23" s="70"/>
      <c r="F23" s="67">
        <f>+((F22-150)*28%)+10</f>
        <v>19.935759472448865</v>
      </c>
    </row>
    <row r="24" spans="1:8" hidden="1" x14ac:dyDescent="0.25">
      <c r="A24" s="79" t="s">
        <v>24</v>
      </c>
      <c r="B24" s="80">
        <f>(B23*26.841)</f>
        <v>1034.4521400000001</v>
      </c>
      <c r="C24" s="81"/>
      <c r="D24" s="82">
        <f>+B24</f>
        <v>1034.4521400000001</v>
      </c>
      <c r="E24" s="81"/>
      <c r="F24" s="82">
        <f>(F23*26.841)</f>
        <v>535.09572000000003</v>
      </c>
    </row>
    <row r="25" spans="1:8" hidden="1" x14ac:dyDescent="0.25">
      <c r="A25" s="45" t="s">
        <v>13</v>
      </c>
      <c r="B25" s="97">
        <f>+B24/B12</f>
        <v>6.4653258750000012E-2</v>
      </c>
      <c r="C25" s="98"/>
      <c r="D25" s="99">
        <f>+D24/D12</f>
        <v>6.4653258750000012E-2</v>
      </c>
      <c r="E25" s="98"/>
      <c r="F25" s="99">
        <f>+F24/F12</f>
        <v>3.3443482500000003E-2</v>
      </c>
    </row>
    <row r="26" spans="1:8" hidden="1" x14ac:dyDescent="0.25">
      <c r="A26" s="45"/>
      <c r="B26" s="97"/>
      <c r="C26" s="98"/>
      <c r="D26" s="99"/>
      <c r="E26" s="98"/>
      <c r="F26" s="99"/>
    </row>
    <row r="27" spans="1:8" hidden="1" x14ac:dyDescent="0.25">
      <c r="A27" s="40" t="s">
        <v>48</v>
      </c>
      <c r="B27" s="100"/>
      <c r="C27" s="55"/>
      <c r="D27" s="56"/>
      <c r="E27" s="55"/>
      <c r="F27" s="56"/>
    </row>
    <row r="28" spans="1:8" hidden="1" x14ac:dyDescent="0.25">
      <c r="A28" s="79" t="s">
        <v>30</v>
      </c>
      <c r="B28" s="93">
        <f>-(B13+B14+B15+B16+B17+B18+B20)/B12</f>
        <v>9.2109374999999993E-2</v>
      </c>
      <c r="C28" s="86"/>
      <c r="D28" s="94">
        <f>-(D13+D14+D15+D16+D17+D18+D20)/D12</f>
        <v>0.57736705803571431</v>
      </c>
      <c r="E28" s="86"/>
      <c r="F28" s="94">
        <f>-(F13+F14+F15+F16+F17+F18+F20)/F12</f>
        <v>0.68883756249999994</v>
      </c>
    </row>
    <row r="29" spans="1:8" hidden="1" x14ac:dyDescent="0.25">
      <c r="A29" s="45" t="s">
        <v>31</v>
      </c>
      <c r="B29" s="45" t="s">
        <v>17</v>
      </c>
      <c r="C29" s="58"/>
      <c r="D29" s="101">
        <v>0.18</v>
      </c>
      <c r="E29" s="58"/>
      <c r="F29" s="101">
        <v>0.3</v>
      </c>
    </row>
    <row r="30" spans="1:8" hidden="1" x14ac:dyDescent="0.25">
      <c r="A30" s="102" t="s">
        <v>49</v>
      </c>
      <c r="B30" s="45" t="s">
        <v>17</v>
      </c>
      <c r="C30" s="58"/>
      <c r="D30" s="101">
        <f>-D17/D12</f>
        <v>0.139125</v>
      </c>
      <c r="E30" s="58"/>
      <c r="F30" s="101">
        <f>-F17/F12</f>
        <v>0.16775000000000001</v>
      </c>
    </row>
    <row r="31" spans="1:8" ht="18" hidden="1" x14ac:dyDescent="0.25">
      <c r="A31" s="74" t="s">
        <v>33</v>
      </c>
      <c r="B31" s="74"/>
      <c r="C31" s="103"/>
      <c r="D31" s="104" t="s">
        <v>15</v>
      </c>
      <c r="E31" s="105"/>
      <c r="F31" s="104" t="s">
        <v>15</v>
      </c>
      <c r="H31" s="125">
        <v>8</v>
      </c>
    </row>
    <row r="32" spans="1:8" hidden="1" x14ac:dyDescent="0.25"/>
    <row r="33" spans="1:6" ht="15" hidden="1" customHeight="1" x14ac:dyDescent="0.25">
      <c r="A33" s="1058" t="s">
        <v>42</v>
      </c>
      <c r="B33" s="1058"/>
      <c r="C33" s="1058"/>
      <c r="D33" s="1058"/>
      <c r="E33" s="1058"/>
      <c r="F33" s="1058"/>
    </row>
    <row r="34" spans="1:6" ht="15.75" hidden="1" x14ac:dyDescent="0.25">
      <c r="A34" s="1058" t="s">
        <v>43</v>
      </c>
      <c r="B34" s="1058"/>
      <c r="C34" s="1058"/>
      <c r="D34" s="1058"/>
      <c r="E34" s="1058"/>
      <c r="F34" s="1058"/>
    </row>
    <row r="35" spans="1:6" ht="15.75" hidden="1" x14ac:dyDescent="0.25">
      <c r="A35" s="1059" t="s">
        <v>35</v>
      </c>
      <c r="B35" s="1059"/>
      <c r="C35" s="1059"/>
      <c r="D35" s="1059"/>
      <c r="E35" s="1059"/>
      <c r="F35" s="1059"/>
    </row>
    <row r="36" spans="1:6" hidden="1" x14ac:dyDescent="0.25">
      <c r="A36" s="85"/>
      <c r="B36" s="85"/>
      <c r="C36" s="85"/>
      <c r="D36" s="85"/>
      <c r="E36" s="85"/>
      <c r="F36" s="85"/>
    </row>
    <row r="37" spans="1:6" hidden="1" x14ac:dyDescent="0.25">
      <c r="A37" s="1060" t="s">
        <v>21</v>
      </c>
      <c r="B37" s="1079" t="s">
        <v>50</v>
      </c>
      <c r="C37" s="1080"/>
      <c r="D37" s="1080"/>
      <c r="E37" s="1080"/>
      <c r="F37" s="1081"/>
    </row>
    <row r="38" spans="1:6" ht="45" hidden="1" customHeight="1" x14ac:dyDescent="0.25">
      <c r="A38" s="1063"/>
      <c r="B38" s="1060" t="s">
        <v>3</v>
      </c>
      <c r="C38" s="1082" t="s">
        <v>20</v>
      </c>
      <c r="D38" s="1083"/>
      <c r="E38" s="1083"/>
      <c r="F38" s="1084"/>
    </row>
    <row r="39" spans="1:6" hidden="1" x14ac:dyDescent="0.25">
      <c r="A39" s="1063"/>
      <c r="B39" s="1061"/>
      <c r="C39" s="110"/>
      <c r="D39" s="19" t="s">
        <v>27</v>
      </c>
      <c r="E39" s="20"/>
      <c r="F39" s="21" t="s">
        <v>22</v>
      </c>
    </row>
    <row r="40" spans="1:6" ht="49.5" hidden="1" customHeight="1" x14ac:dyDescent="0.25">
      <c r="A40" s="1064"/>
      <c r="B40" s="1062"/>
      <c r="C40" s="1066" t="s">
        <v>28</v>
      </c>
      <c r="D40" s="1066"/>
      <c r="E40" s="1070" t="s">
        <v>34</v>
      </c>
      <c r="F40" s="1071"/>
    </row>
    <row r="41" spans="1:6" hidden="1" x14ac:dyDescent="0.25">
      <c r="A41" s="111"/>
      <c r="B41" s="106"/>
      <c r="C41" s="112"/>
      <c r="D41" s="113"/>
      <c r="E41" s="20"/>
      <c r="F41" s="21"/>
    </row>
    <row r="42" spans="1:6" hidden="1" x14ac:dyDescent="0.25">
      <c r="A42" s="58" t="s">
        <v>4</v>
      </c>
      <c r="B42" s="57">
        <f>+B12*12</f>
        <v>192000</v>
      </c>
      <c r="C42" s="60"/>
      <c r="D42" s="114">
        <f>+D12*12</f>
        <v>192000</v>
      </c>
      <c r="E42" s="58"/>
      <c r="F42" s="59">
        <f>+F12*12</f>
        <v>192000</v>
      </c>
    </row>
    <row r="43" spans="1:6" hidden="1" x14ac:dyDescent="0.25">
      <c r="A43" s="58" t="s">
        <v>46</v>
      </c>
      <c r="B43" s="61">
        <f>-10608</f>
        <v>-10608</v>
      </c>
      <c r="C43" s="63"/>
      <c r="D43" s="115">
        <f>-10608</f>
        <v>-10608</v>
      </c>
      <c r="E43" s="58"/>
      <c r="F43" s="62">
        <f>-10608</f>
        <v>-10608</v>
      </c>
    </row>
    <row r="44" spans="1:6" hidden="1" x14ac:dyDescent="0.25">
      <c r="A44" s="58" t="s">
        <v>47</v>
      </c>
      <c r="B44" s="61">
        <v>-7080</v>
      </c>
      <c r="C44" s="63"/>
      <c r="D44" s="115">
        <v>-7080</v>
      </c>
      <c r="E44" s="58"/>
      <c r="F44" s="62">
        <v>-7080</v>
      </c>
    </row>
    <row r="45" spans="1:6" hidden="1" x14ac:dyDescent="0.25">
      <c r="A45" s="58" t="s">
        <v>7</v>
      </c>
      <c r="B45" s="61">
        <v>0</v>
      </c>
      <c r="C45" s="63"/>
      <c r="D45" s="115">
        <f>D15*12</f>
        <v>-23949</v>
      </c>
      <c r="E45" s="58"/>
      <c r="F45" s="62">
        <f>F15*12</f>
        <v>-46989</v>
      </c>
    </row>
    <row r="46" spans="1:6" hidden="1" x14ac:dyDescent="0.25">
      <c r="A46" s="58" t="s">
        <v>8</v>
      </c>
      <c r="B46" s="61">
        <v>0</v>
      </c>
      <c r="C46" s="63"/>
      <c r="D46" s="115">
        <f>-429*12</f>
        <v>-5148</v>
      </c>
      <c r="E46" s="58"/>
      <c r="F46" s="62">
        <f>-429*12</f>
        <v>-5148</v>
      </c>
    </row>
    <row r="47" spans="1:6" hidden="1" x14ac:dyDescent="0.25">
      <c r="A47" s="58" t="s">
        <v>23</v>
      </c>
      <c r="B47" s="61">
        <v>0</v>
      </c>
      <c r="C47" s="63"/>
      <c r="D47" s="115">
        <f>D17*12</f>
        <v>-26712</v>
      </c>
      <c r="E47" s="58"/>
      <c r="F47" s="62">
        <f>F17*12</f>
        <v>-32208</v>
      </c>
    </row>
    <row r="48" spans="1:6" hidden="1" x14ac:dyDescent="0.25">
      <c r="A48" s="58" t="s">
        <v>14</v>
      </c>
      <c r="B48" s="64">
        <v>0</v>
      </c>
      <c r="C48" s="58"/>
      <c r="D48" s="116">
        <f>-859*12</f>
        <v>-10308</v>
      </c>
      <c r="E48" s="63"/>
      <c r="F48" s="65">
        <f>-859*12</f>
        <v>-10308</v>
      </c>
    </row>
    <row r="49" spans="1:8" hidden="1" x14ac:dyDescent="0.25">
      <c r="A49" s="58" t="s">
        <v>9</v>
      </c>
      <c r="B49" s="61">
        <f>SUM(B42:B48)</f>
        <v>174312</v>
      </c>
      <c r="C49" s="63"/>
      <c r="D49" s="115">
        <f>SUM(D42:D48)</f>
        <v>108195</v>
      </c>
      <c r="E49" s="58"/>
      <c r="F49" s="62">
        <f>SUM(F42:F48)</f>
        <v>79659</v>
      </c>
    </row>
    <row r="50" spans="1:8" hidden="1" x14ac:dyDescent="0.25">
      <c r="A50" s="58" t="s">
        <v>18</v>
      </c>
      <c r="B50" s="64">
        <v>0</v>
      </c>
      <c r="C50" s="58"/>
      <c r="D50" s="116">
        <f>-D49*25%</f>
        <v>-27048.75</v>
      </c>
      <c r="E50" s="63"/>
      <c r="F50" s="65">
        <f>-F49*25%</f>
        <v>-19914.75</v>
      </c>
    </row>
    <row r="51" spans="1:8" hidden="1" x14ac:dyDescent="0.25">
      <c r="A51" s="58" t="s">
        <v>10</v>
      </c>
      <c r="B51" s="61">
        <f>SUM(B49:B50)</f>
        <v>174312</v>
      </c>
      <c r="C51" s="58"/>
      <c r="D51" s="115">
        <f>SUM(D49:D50)</f>
        <v>81146.25</v>
      </c>
      <c r="E51" s="63"/>
      <c r="F51" s="62">
        <f>SUM(F49:F50)</f>
        <v>59744.25</v>
      </c>
    </row>
    <row r="52" spans="1:8" hidden="1" x14ac:dyDescent="0.25">
      <c r="A52" s="58" t="s">
        <v>11</v>
      </c>
      <c r="B52" s="66">
        <f>+B51/26.841</f>
        <v>6494.243880630379</v>
      </c>
      <c r="C52" s="70"/>
      <c r="D52" s="117">
        <f>+D51/26.841</f>
        <v>3023.2200737677431</v>
      </c>
      <c r="E52" s="58"/>
      <c r="F52" s="67">
        <f>+F51/26.841</f>
        <v>2225.8578294400359</v>
      </c>
    </row>
    <row r="53" spans="1:8" hidden="1" x14ac:dyDescent="0.25">
      <c r="A53" s="58" t="s">
        <v>36</v>
      </c>
      <c r="B53" s="66">
        <v>462.46</v>
      </c>
      <c r="C53" s="70"/>
      <c r="D53" s="258">
        <f>+(((D52-4100)*33%)+788)</f>
        <v>432.66262434335522</v>
      </c>
      <c r="E53" s="58"/>
      <c r="F53" s="68">
        <f>+(((F52-1700)*28%)+116)</f>
        <v>263.24019224321006</v>
      </c>
    </row>
    <row r="54" spans="1:8" hidden="1" x14ac:dyDescent="0.25">
      <c r="A54" s="86" t="s">
        <v>37</v>
      </c>
      <c r="B54" s="80">
        <f>+B53*26.841</f>
        <v>12412.888859999999</v>
      </c>
      <c r="C54" s="87"/>
      <c r="D54" s="259">
        <f>+D53*26.841</f>
        <v>11613.097499999998</v>
      </c>
      <c r="E54" s="81"/>
      <c r="F54" s="82">
        <f>+F53*26.841</f>
        <v>7065.6300000000019</v>
      </c>
    </row>
    <row r="55" spans="1:8" hidden="1" x14ac:dyDescent="0.25">
      <c r="A55" s="86" t="s">
        <v>38</v>
      </c>
      <c r="B55" s="80">
        <v>0</v>
      </c>
      <c r="C55" s="87"/>
      <c r="D55" s="88">
        <f>+B54-D54</f>
        <v>799.79136000000108</v>
      </c>
      <c r="E55" s="81"/>
      <c r="F55" s="82">
        <f>+B54-F54</f>
        <v>5347.2588599999972</v>
      </c>
    </row>
    <row r="56" spans="1:8" hidden="1" x14ac:dyDescent="0.25">
      <c r="A56" s="86" t="s">
        <v>24</v>
      </c>
      <c r="B56" s="80">
        <f>-12413+0.3</f>
        <v>-12412.7</v>
      </c>
      <c r="C56" s="81"/>
      <c r="D56" s="88">
        <v>-12413</v>
      </c>
      <c r="E56" s="86"/>
      <c r="F56" s="264">
        <f>-930*12</f>
        <v>-11160</v>
      </c>
    </row>
    <row r="57" spans="1:8" hidden="1" x14ac:dyDescent="0.25">
      <c r="A57" s="86" t="s">
        <v>51</v>
      </c>
      <c r="B57" s="89"/>
      <c r="C57" s="81"/>
      <c r="D57" s="90"/>
      <c r="E57" s="86"/>
      <c r="F57" s="91">
        <f>$B$56-F56</f>
        <v>-1252.7000000000007</v>
      </c>
    </row>
    <row r="58" spans="1:8" hidden="1" x14ac:dyDescent="0.25">
      <c r="A58" s="118" t="s">
        <v>40</v>
      </c>
      <c r="B58" s="72">
        <f>SUM(B54:B57)</f>
        <v>0.18885999999838532</v>
      </c>
      <c r="C58" s="119"/>
      <c r="D58" s="120">
        <f>SUM(D54:D57)+0.3</f>
        <v>0.1888599999991129</v>
      </c>
      <c r="E58" s="58"/>
      <c r="F58" s="73">
        <f>SUM(F54:F57)</f>
        <v>0.18885999999838532</v>
      </c>
    </row>
    <row r="59" spans="1:8" hidden="1" x14ac:dyDescent="0.25">
      <c r="A59" s="58"/>
      <c r="B59" s="61"/>
      <c r="C59" s="63"/>
      <c r="D59" s="115"/>
      <c r="E59" s="58"/>
      <c r="F59" s="69"/>
    </row>
    <row r="60" spans="1:8" hidden="1" x14ac:dyDescent="0.25">
      <c r="A60" s="103" t="s">
        <v>41</v>
      </c>
      <c r="B60" s="75">
        <f>+B54/B42</f>
        <v>6.465046281249999E-2</v>
      </c>
      <c r="C60" s="121"/>
      <c r="D60" s="122">
        <f>+D54/D42</f>
        <v>6.0484882812499988E-2</v>
      </c>
      <c r="E60" s="103"/>
      <c r="F60" s="77">
        <f>+F54/F42</f>
        <v>3.6800156250000007E-2</v>
      </c>
    </row>
    <row r="61" spans="1:8" hidden="1" x14ac:dyDescent="0.25"/>
    <row r="62" spans="1:8" hidden="1" x14ac:dyDescent="0.25"/>
    <row r="63" spans="1:8" ht="18" hidden="1" x14ac:dyDescent="0.25">
      <c r="H63" s="125">
        <v>9</v>
      </c>
    </row>
    <row r="64" spans="1: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password="941B" sheet="1"/>
  <mergeCells count="16">
    <mergeCell ref="A33:F33"/>
    <mergeCell ref="C8:F8"/>
    <mergeCell ref="A37:A40"/>
    <mergeCell ref="B37:F37"/>
    <mergeCell ref="B38:B40"/>
    <mergeCell ref="C38:F38"/>
    <mergeCell ref="C40:D40"/>
    <mergeCell ref="E10:F10"/>
    <mergeCell ref="E40:F40"/>
    <mergeCell ref="A34:F34"/>
    <mergeCell ref="A35:F35"/>
    <mergeCell ref="A1:F1"/>
    <mergeCell ref="A2:F2"/>
    <mergeCell ref="A8:A10"/>
    <mergeCell ref="B8:B10"/>
    <mergeCell ref="C10:D10"/>
  </mergeCells>
  <pageMargins left="1.1023622047244095" right="0.51181102362204722" top="0.74803149606299213" bottom="0.55118110236220474" header="0.31496062992125984" footer="0.31496062992125984"/>
  <pageSetup scale="95" orientation="landscape" r:id="rId1"/>
  <ignoredErrors>
    <ignoredError sqref="D46:F46" 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B1:W102"/>
  <sheetViews>
    <sheetView showGridLines="0" zoomScaleNormal="100" workbookViewId="0">
      <selection activeCell="F52" sqref="F52"/>
    </sheetView>
  </sheetViews>
  <sheetFormatPr baseColWidth="10" defaultColWidth="11.5703125" defaultRowHeight="15" x14ac:dyDescent="0.25"/>
  <cols>
    <col min="1" max="1" width="0.85546875" style="154" customWidth="1"/>
    <col min="2" max="2" width="7" style="154" customWidth="1"/>
    <col min="3" max="3" width="77.7109375" style="154" customWidth="1"/>
    <col min="4" max="4" width="11.28515625" style="154" customWidth="1"/>
    <col min="5" max="5" width="23" style="154" hidden="1" customWidth="1"/>
    <col min="6" max="6" width="16.85546875" style="154" customWidth="1"/>
    <col min="7" max="7" width="16.28515625" style="154" customWidth="1"/>
    <col min="8" max="9" width="15.140625" style="154" hidden="1" customWidth="1"/>
    <col min="10" max="10" width="7.85546875" style="154" hidden="1" customWidth="1"/>
    <col min="11" max="11" width="13.7109375" style="154" hidden="1" customWidth="1"/>
    <col min="12" max="12" width="7.85546875" style="154" hidden="1" customWidth="1"/>
    <col min="13" max="13" width="13.7109375" style="154" hidden="1" customWidth="1"/>
    <col min="14" max="14" width="15.5703125" style="475" hidden="1" customWidth="1"/>
    <col min="15" max="15" width="13.140625" style="204" hidden="1" customWidth="1"/>
    <col min="16" max="16" width="15.28515625" style="154" hidden="1" customWidth="1"/>
    <col min="17" max="17" width="7" style="154" hidden="1" customWidth="1"/>
    <col min="18" max="19" width="15.28515625" style="154" hidden="1" customWidth="1"/>
    <col min="20" max="20" width="0.7109375" style="154" customWidth="1"/>
    <col min="21" max="21" width="20.28515625" style="154" hidden="1" customWidth="1"/>
    <col min="22" max="22" width="15.28515625" style="154" customWidth="1"/>
    <col min="23" max="39" width="11.5703125" style="154" customWidth="1"/>
    <col min="40" max="16384" width="11.5703125" style="154"/>
  </cols>
  <sheetData>
    <row r="1" spans="2:15" x14ac:dyDescent="0.25">
      <c r="B1" s="607"/>
      <c r="C1" s="489"/>
      <c r="N1" s="687"/>
    </row>
    <row r="2" spans="2:15" x14ac:dyDescent="0.25">
      <c r="B2" s="607"/>
      <c r="C2" s="489"/>
      <c r="N2" s="687"/>
    </row>
    <row r="3" spans="2:15" x14ac:dyDescent="0.25">
      <c r="B3" s="607"/>
      <c r="C3" s="489"/>
      <c r="N3" s="687"/>
    </row>
    <row r="4" spans="2:15" x14ac:dyDescent="0.25">
      <c r="B4" s="607"/>
      <c r="C4" s="489"/>
      <c r="N4" s="687"/>
    </row>
    <row r="5" spans="2:15" x14ac:dyDescent="0.25">
      <c r="B5" s="607"/>
      <c r="C5" s="489"/>
      <c r="N5" s="687"/>
    </row>
    <row r="6" spans="2:15" x14ac:dyDescent="0.25">
      <c r="B6" s="607"/>
      <c r="C6" s="489"/>
      <c r="N6" s="687"/>
    </row>
    <row r="7" spans="2:15" x14ac:dyDescent="0.25">
      <c r="B7" s="607"/>
      <c r="C7" s="489"/>
      <c r="N7" s="687"/>
    </row>
    <row r="8" spans="2:15" ht="11.25" customHeight="1" thickBot="1" x14ac:dyDescent="0.3">
      <c r="B8" s="607"/>
      <c r="C8" s="512"/>
      <c r="N8" s="687"/>
    </row>
    <row r="9" spans="2:15" s="499" customFormat="1" ht="24" thickBot="1" x14ac:dyDescent="0.3">
      <c r="B9" s="909" t="s">
        <v>212</v>
      </c>
      <c r="C9" s="719"/>
      <c r="D9" s="719"/>
      <c r="E9" s="719"/>
      <c r="F9" s="719"/>
      <c r="G9" s="720"/>
      <c r="H9" s="716"/>
      <c r="I9" s="716"/>
      <c r="J9" s="716"/>
      <c r="K9" s="716"/>
      <c r="L9" s="716"/>
      <c r="M9" s="717"/>
      <c r="N9" s="321"/>
      <c r="O9" s="715"/>
    </row>
    <row r="10" spans="2:15" s="499" customFormat="1" ht="12" hidden="1" customHeight="1" x14ac:dyDescent="0.25">
      <c r="B10" s="856"/>
      <c r="C10" s="857" t="s">
        <v>123</v>
      </c>
      <c r="D10" s="857"/>
      <c r="E10" s="857"/>
      <c r="F10" s="857"/>
      <c r="G10" s="860"/>
      <c r="H10" s="690"/>
      <c r="I10" s="690"/>
      <c r="J10" s="690"/>
      <c r="K10" s="690"/>
      <c r="L10" s="690"/>
      <c r="M10" s="691"/>
      <c r="N10" s="321"/>
      <c r="O10" s="572"/>
    </row>
    <row r="11" spans="2:15" s="570" customFormat="1" ht="15.75" hidden="1" customHeight="1" x14ac:dyDescent="0.25">
      <c r="B11" s="706"/>
      <c r="C11" s="662"/>
      <c r="D11" s="662"/>
      <c r="E11" s="660"/>
      <c r="F11" s="660"/>
      <c r="G11" s="721"/>
      <c r="H11" s="581"/>
      <c r="I11" s="581"/>
      <c r="J11" s="581"/>
      <c r="K11" s="581"/>
      <c r="L11" s="581"/>
      <c r="M11" s="582"/>
      <c r="N11" s="568"/>
      <c r="O11" s="569"/>
    </row>
    <row r="12" spans="2:15" s="570" customFormat="1" ht="15.75" hidden="1" customHeight="1" x14ac:dyDescent="0.25">
      <c r="B12" s="706"/>
      <c r="C12" s="662"/>
      <c r="D12" s="662"/>
      <c r="E12" s="660"/>
      <c r="F12" s="660"/>
      <c r="G12" s="721"/>
      <c r="H12" s="581"/>
      <c r="I12" s="581"/>
      <c r="J12" s="581"/>
      <c r="K12" s="581"/>
      <c r="L12" s="581"/>
      <c r="M12" s="582"/>
      <c r="N12" s="568"/>
      <c r="O12" s="569"/>
    </row>
    <row r="13" spans="2:15" s="570" customFormat="1" ht="15.75" hidden="1" customHeight="1" x14ac:dyDescent="0.25">
      <c r="B13" s="707"/>
      <c r="C13" s="876"/>
      <c r="D13" s="662"/>
      <c r="E13" s="660"/>
      <c r="F13" s="660"/>
      <c r="G13" s="721"/>
      <c r="H13" s="581"/>
      <c r="I13" s="581"/>
      <c r="J13" s="581"/>
      <c r="K13" s="581"/>
      <c r="L13" s="581"/>
      <c r="M13" s="582"/>
      <c r="N13" s="475" t="s">
        <v>15</v>
      </c>
      <c r="O13" s="687" t="s">
        <v>98</v>
      </c>
    </row>
    <row r="14" spans="2:15" s="499" customFormat="1" ht="15.75" hidden="1" thickBot="1" x14ac:dyDescent="0.3">
      <c r="B14" s="707"/>
      <c r="C14" s="876"/>
      <c r="D14" s="662"/>
      <c r="E14" s="661"/>
      <c r="F14" s="662"/>
      <c r="G14" s="722"/>
      <c r="H14" s="553"/>
      <c r="I14" s="553"/>
      <c r="J14" s="553"/>
      <c r="K14" s="553"/>
      <c r="L14" s="553"/>
      <c r="M14" s="571"/>
      <c r="N14" s="321" t="s">
        <v>83</v>
      </c>
      <c r="O14" s="687" t="s">
        <v>99</v>
      </c>
    </row>
    <row r="15" spans="2:15" ht="15.75" thickBot="1" x14ac:dyDescent="0.3">
      <c r="B15" s="596" t="s">
        <v>220</v>
      </c>
      <c r="C15" s="877"/>
      <c r="D15" s="515"/>
      <c r="E15" s="551"/>
      <c r="F15" s="516"/>
      <c r="G15" s="517"/>
      <c r="H15" s="539"/>
      <c r="I15" s="539"/>
      <c r="J15" s="489"/>
      <c r="K15" s="489"/>
      <c r="L15" s="489"/>
      <c r="M15" s="550"/>
      <c r="N15" s="475" t="s">
        <v>123</v>
      </c>
    </row>
    <row r="16" spans="2:15" x14ac:dyDescent="0.25">
      <c r="B16" s="513"/>
      <c r="C16" s="878"/>
      <c r="D16" s="513"/>
      <c r="E16" s="153"/>
      <c r="F16" s="513" t="s">
        <v>202</v>
      </c>
      <c r="G16" s="633">
        <v>31859</v>
      </c>
      <c r="H16" s="489"/>
      <c r="I16" s="489"/>
      <c r="J16" s="489"/>
      <c r="K16" s="489"/>
      <c r="L16" s="489"/>
      <c r="M16" s="550"/>
      <c r="N16" s="475" t="s">
        <v>122</v>
      </c>
    </row>
    <row r="17" spans="2:20" ht="15.75" thickBot="1" x14ac:dyDescent="0.3">
      <c r="B17" s="634"/>
      <c r="C17" s="879"/>
      <c r="D17" s="634"/>
      <c r="E17" s="489"/>
      <c r="F17" s="634" t="s">
        <v>203</v>
      </c>
      <c r="G17" s="635">
        <v>737717</v>
      </c>
      <c r="H17" s="489"/>
      <c r="I17" s="489"/>
      <c r="J17" s="489"/>
      <c r="K17" s="489"/>
      <c r="L17" s="489"/>
      <c r="M17" s="550"/>
      <c r="N17" s="475" t="s">
        <v>124</v>
      </c>
    </row>
    <row r="18" spans="2:20" s="607" customFormat="1" ht="15.75" hidden="1" thickBot="1" x14ac:dyDescent="0.3">
      <c r="B18" s="708"/>
      <c r="C18" s="636"/>
      <c r="D18" s="636"/>
      <c r="E18" s="637"/>
      <c r="F18" s="636"/>
      <c r="G18" s="723"/>
      <c r="M18" s="709"/>
      <c r="N18" s="309"/>
      <c r="O18" s="310"/>
    </row>
    <row r="19" spans="2:20" x14ac:dyDescent="0.25">
      <c r="B19" s="611" t="s">
        <v>224</v>
      </c>
      <c r="C19" s="880"/>
      <c r="D19" s="612"/>
      <c r="E19" s="613"/>
      <c r="F19" s="614"/>
      <c r="G19" s="615"/>
      <c r="H19" s="539"/>
      <c r="I19" s="539"/>
      <c r="J19" s="489"/>
      <c r="K19" s="489"/>
      <c r="L19" s="489"/>
      <c r="M19" s="550"/>
      <c r="N19" s="501" t="s">
        <v>123</v>
      </c>
      <c r="S19" s="501"/>
      <c r="T19" s="687"/>
    </row>
    <row r="20" spans="2:20" s="625" customFormat="1" ht="11.25" x14ac:dyDescent="0.2">
      <c r="B20" s="912" t="s">
        <v>225</v>
      </c>
      <c r="C20" s="910"/>
      <c r="D20" s="617"/>
      <c r="E20" s="911"/>
      <c r="F20" s="619"/>
      <c r="G20" s="619" t="s">
        <v>226</v>
      </c>
      <c r="H20" s="620"/>
      <c r="I20" s="620"/>
      <c r="J20" s="621"/>
      <c r="K20" s="621"/>
      <c r="L20" s="621"/>
      <c r="M20" s="622"/>
      <c r="N20" s="623"/>
      <c r="O20" s="624"/>
      <c r="S20" s="623"/>
      <c r="T20" s="623"/>
    </row>
    <row r="21" spans="2:20" x14ac:dyDescent="0.25">
      <c r="B21" s="1023"/>
      <c r="C21" s="1024"/>
      <c r="D21" s="1024"/>
      <c r="E21" s="1024"/>
      <c r="F21" s="1025"/>
      <c r="G21" s="652"/>
      <c r="H21" s="583"/>
      <c r="I21" s="583"/>
      <c r="J21" s="489"/>
      <c r="K21" s="489"/>
      <c r="L21" s="489"/>
      <c r="M21" s="550"/>
      <c r="N21" s="501"/>
      <c r="S21" s="501"/>
      <c r="T21" s="687"/>
    </row>
    <row r="22" spans="2:20" x14ac:dyDescent="0.25">
      <c r="B22" s="626" t="s">
        <v>227</v>
      </c>
      <c r="C22" s="881"/>
      <c r="D22" s="627"/>
      <c r="E22" s="628"/>
      <c r="F22" s="629"/>
      <c r="G22" s="630"/>
      <c r="H22" s="539"/>
      <c r="I22" s="539"/>
      <c r="J22" s="489"/>
      <c r="K22" s="489"/>
      <c r="L22" s="489"/>
      <c r="M22" s="550"/>
      <c r="N22" s="501" t="s">
        <v>123</v>
      </c>
      <c r="S22" s="501"/>
      <c r="T22" s="687"/>
    </row>
    <row r="23" spans="2:20" s="625" customFormat="1" ht="11.25" x14ac:dyDescent="0.2">
      <c r="B23" s="912" t="s">
        <v>228</v>
      </c>
      <c r="C23" s="910"/>
      <c r="D23" s="617"/>
      <c r="E23" s="911"/>
      <c r="F23" s="619"/>
      <c r="G23" s="619" t="s">
        <v>230</v>
      </c>
      <c r="H23" s="620"/>
      <c r="I23" s="620"/>
      <c r="J23" s="621"/>
      <c r="K23" s="621"/>
      <c r="L23" s="621"/>
      <c r="M23" s="622"/>
      <c r="N23" s="623"/>
      <c r="O23" s="624"/>
      <c r="S23" s="623"/>
      <c r="T23" s="623"/>
    </row>
    <row r="24" spans="2:20" ht="15.75" thickBot="1" x14ac:dyDescent="0.3">
      <c r="B24" s="1023"/>
      <c r="C24" s="1024"/>
      <c r="D24" s="1024"/>
      <c r="E24" s="1024"/>
      <c r="F24" s="1025"/>
      <c r="G24" s="705"/>
      <c r="H24" s="514"/>
      <c r="I24" s="514"/>
      <c r="J24" s="489"/>
      <c r="K24" s="489"/>
      <c r="L24" s="489"/>
      <c r="M24" s="550"/>
      <c r="N24" s="501"/>
      <c r="S24" s="501"/>
      <c r="T24" s="687"/>
    </row>
    <row r="25" spans="2:20" ht="15.75" hidden="1" thickBot="1" x14ac:dyDescent="0.3">
      <c r="B25" s="640"/>
      <c r="C25" s="882"/>
      <c r="D25" s="267"/>
      <c r="E25" s="267"/>
      <c r="F25" s="641"/>
      <c r="G25" s="724"/>
      <c r="H25" s="585"/>
      <c r="I25" s="585"/>
      <c r="J25" s="489"/>
      <c r="K25" s="489"/>
      <c r="L25" s="489"/>
      <c r="M25" s="550"/>
    </row>
    <row r="26" spans="2:20" ht="15.75" thickBot="1" x14ac:dyDescent="0.3">
      <c r="B26" s="611" t="s">
        <v>229</v>
      </c>
      <c r="C26" s="880"/>
      <c r="D26" s="612"/>
      <c r="E26" s="613"/>
      <c r="F26" s="614"/>
      <c r="G26" s="615"/>
      <c r="H26" s="539"/>
      <c r="I26" s="539"/>
      <c r="J26" s="489"/>
      <c r="K26" s="489"/>
      <c r="L26" s="489"/>
      <c r="M26" s="550"/>
      <c r="N26" s="501"/>
      <c r="S26" s="501"/>
      <c r="T26" s="687"/>
    </row>
    <row r="27" spans="2:20" x14ac:dyDescent="0.25">
      <c r="B27" s="513"/>
      <c r="C27" s="878"/>
      <c r="D27" s="513" t="s">
        <v>215</v>
      </c>
      <c r="E27" s="520"/>
      <c r="F27" s="732">
        <v>42339</v>
      </c>
      <c r="G27" s="733">
        <v>42704</v>
      </c>
      <c r="H27" s="583"/>
      <c r="I27" s="583"/>
      <c r="J27" s="489"/>
      <c r="K27" s="489"/>
      <c r="L27" s="489"/>
      <c r="M27" s="550"/>
    </row>
    <row r="28" spans="2:20" ht="15.75" thickBot="1" x14ac:dyDescent="0.3">
      <c r="B28" s="518"/>
      <c r="C28" s="883"/>
      <c r="D28" s="518" t="s">
        <v>216</v>
      </c>
      <c r="E28" s="512"/>
      <c r="F28" s="1005">
        <f>+G28/30</f>
        <v>12</v>
      </c>
      <c r="G28" s="519">
        <f>(ROUND(DAYS360((EOMONTH(F27,-1)+1),(IF(EOMONTH(G27,0)=G27,EOMONTH(G27,0),EOMONTH(G27,-1))))/30,0)*30+(IF(EOMONTH(G27,0)=G27,0, DAY(G27))-DAY(F27)))+1</f>
        <v>360</v>
      </c>
      <c r="H28" s="514"/>
      <c r="I28" s="514"/>
      <c r="J28" s="489"/>
      <c r="K28" s="489"/>
      <c r="L28" s="489"/>
      <c r="M28" s="550"/>
    </row>
    <row r="29" spans="2:20" s="607" customFormat="1" hidden="1" x14ac:dyDescent="0.25">
      <c r="B29" s="710"/>
      <c r="C29" s="710"/>
      <c r="D29" s="631"/>
      <c r="F29" s="639"/>
      <c r="G29" s="725"/>
      <c r="H29" s="632"/>
      <c r="I29" s="632"/>
      <c r="M29" s="709"/>
      <c r="N29" s="309"/>
      <c r="O29" s="310"/>
    </row>
    <row r="30" spans="2:20" x14ac:dyDescent="0.25">
      <c r="B30" s="886" t="s">
        <v>366</v>
      </c>
      <c r="C30" s="537" t="s">
        <v>219</v>
      </c>
      <c r="D30" s="538"/>
      <c r="E30" s="552"/>
      <c r="F30" s="511" t="s">
        <v>213</v>
      </c>
      <c r="G30" s="586" t="s">
        <v>214</v>
      </c>
      <c r="H30" s="587"/>
      <c r="I30" s="587"/>
      <c r="J30" s="489"/>
      <c r="K30" s="489"/>
      <c r="L30" s="489"/>
      <c r="M30" s="550"/>
    </row>
    <row r="31" spans="2:20" x14ac:dyDescent="0.25">
      <c r="B31" s="887">
        <v>1</v>
      </c>
      <c r="C31" s="507" t="s">
        <v>381</v>
      </c>
      <c r="D31" s="510"/>
      <c r="E31" s="489"/>
      <c r="F31" s="575">
        <v>0</v>
      </c>
      <c r="G31" s="594">
        <f t="shared" ref="G31:G42" si="0">IF(F31&gt;0,+F31/$F$44,0)</f>
        <v>0</v>
      </c>
      <c r="H31" s="540"/>
      <c r="I31" s="540"/>
      <c r="J31" s="489"/>
      <c r="K31" s="489"/>
      <c r="L31" s="489"/>
      <c r="M31" s="550"/>
    </row>
    <row r="32" spans="2:20" x14ac:dyDescent="0.25">
      <c r="B32" s="887">
        <f>+B31+1</f>
        <v>2</v>
      </c>
      <c r="C32" s="507" t="s">
        <v>204</v>
      </c>
      <c r="D32" s="510"/>
      <c r="E32" s="489"/>
      <c r="F32" s="576">
        <v>0</v>
      </c>
      <c r="G32" s="594">
        <f t="shared" si="0"/>
        <v>0</v>
      </c>
      <c r="H32" s="540"/>
      <c r="I32" s="540"/>
      <c r="J32" s="489"/>
      <c r="K32" s="489"/>
      <c r="L32" s="489"/>
      <c r="M32" s="550"/>
    </row>
    <row r="33" spans="2:13" x14ac:dyDescent="0.25">
      <c r="B33" s="887">
        <f t="shared" ref="B33:B91" si="1">+B32+1</f>
        <v>3</v>
      </c>
      <c r="C33" s="507" t="s">
        <v>193</v>
      </c>
      <c r="D33" s="510"/>
      <c r="E33" s="489"/>
      <c r="F33" s="576">
        <v>0</v>
      </c>
      <c r="G33" s="594">
        <f t="shared" si="0"/>
        <v>0</v>
      </c>
      <c r="H33" s="540"/>
      <c r="I33" s="540"/>
      <c r="J33" s="489"/>
      <c r="K33" s="489"/>
      <c r="L33" s="489"/>
      <c r="M33" s="550"/>
    </row>
    <row r="34" spans="2:13" x14ac:dyDescent="0.25">
      <c r="B34" s="887">
        <f t="shared" si="1"/>
        <v>4</v>
      </c>
      <c r="C34" s="507" t="s">
        <v>194</v>
      </c>
      <c r="D34" s="510"/>
      <c r="E34" s="489"/>
      <c r="F34" s="576">
        <v>0</v>
      </c>
      <c r="G34" s="594">
        <f t="shared" si="0"/>
        <v>0</v>
      </c>
      <c r="H34" s="540"/>
      <c r="I34" s="540"/>
      <c r="J34" s="489"/>
      <c r="K34" s="489"/>
      <c r="L34" s="489"/>
      <c r="M34" s="550"/>
    </row>
    <row r="35" spans="2:13" x14ac:dyDescent="0.25">
      <c r="B35" s="887">
        <f t="shared" si="1"/>
        <v>5</v>
      </c>
      <c r="C35" s="507" t="s">
        <v>195</v>
      </c>
      <c r="D35" s="510"/>
      <c r="E35" s="489"/>
      <c r="F35" s="576">
        <v>0</v>
      </c>
      <c r="G35" s="594">
        <f t="shared" si="0"/>
        <v>0</v>
      </c>
      <c r="H35" s="540"/>
      <c r="I35" s="540"/>
      <c r="J35" s="489"/>
      <c r="K35" s="489"/>
      <c r="L35" s="489"/>
      <c r="M35" s="550"/>
    </row>
    <row r="36" spans="2:13" x14ac:dyDescent="0.25">
      <c r="B36" s="887">
        <f t="shared" si="1"/>
        <v>6</v>
      </c>
      <c r="C36" s="507" t="s">
        <v>198</v>
      </c>
      <c r="D36" s="510"/>
      <c r="E36" s="489"/>
      <c r="F36" s="576">
        <v>0</v>
      </c>
      <c r="G36" s="594">
        <f t="shared" si="0"/>
        <v>0</v>
      </c>
      <c r="H36" s="540"/>
      <c r="I36" s="540"/>
      <c r="J36" s="489"/>
      <c r="K36" s="489"/>
      <c r="L36" s="489"/>
      <c r="M36" s="550"/>
    </row>
    <row r="37" spans="2:13" x14ac:dyDescent="0.25">
      <c r="B37" s="887">
        <f t="shared" si="1"/>
        <v>7</v>
      </c>
      <c r="C37" s="507" t="s">
        <v>191</v>
      </c>
      <c r="D37" s="510"/>
      <c r="E37" s="489"/>
      <c r="F37" s="576">
        <v>0</v>
      </c>
      <c r="G37" s="594">
        <f t="shared" si="0"/>
        <v>0</v>
      </c>
      <c r="H37" s="540"/>
      <c r="I37" s="540"/>
      <c r="J37" s="489"/>
      <c r="K37" s="489"/>
      <c r="L37" s="489"/>
      <c r="M37" s="550"/>
    </row>
    <row r="38" spans="2:13" x14ac:dyDescent="0.25">
      <c r="B38" s="887">
        <f t="shared" si="1"/>
        <v>8</v>
      </c>
      <c r="C38" s="507" t="s">
        <v>196</v>
      </c>
      <c r="D38" s="510"/>
      <c r="E38" s="489"/>
      <c r="F38" s="576">
        <v>0</v>
      </c>
      <c r="G38" s="594">
        <f t="shared" si="0"/>
        <v>0</v>
      </c>
      <c r="H38" s="540"/>
      <c r="I38" s="540"/>
      <c r="J38" s="489"/>
      <c r="K38" s="489"/>
      <c r="L38" s="489"/>
      <c r="M38" s="550"/>
    </row>
    <row r="39" spans="2:13" x14ac:dyDescent="0.25">
      <c r="B39" s="887">
        <f t="shared" si="1"/>
        <v>9</v>
      </c>
      <c r="C39" s="507" t="s">
        <v>197</v>
      </c>
      <c r="D39" s="510"/>
      <c r="E39" s="489"/>
      <c r="F39" s="576">
        <v>0</v>
      </c>
      <c r="G39" s="594">
        <f t="shared" si="0"/>
        <v>0</v>
      </c>
      <c r="H39" s="540"/>
      <c r="I39" s="540"/>
      <c r="J39" s="489"/>
      <c r="K39" s="489"/>
      <c r="L39" s="489"/>
      <c r="M39" s="550"/>
    </row>
    <row r="40" spans="2:13" x14ac:dyDescent="0.25">
      <c r="B40" s="887">
        <f t="shared" si="1"/>
        <v>10</v>
      </c>
      <c r="C40" s="507" t="s">
        <v>199</v>
      </c>
      <c r="D40" s="510"/>
      <c r="E40" s="489"/>
      <c r="F40" s="576">
        <v>0</v>
      </c>
      <c r="G40" s="594">
        <f t="shared" si="0"/>
        <v>0</v>
      </c>
      <c r="H40" s="540"/>
      <c r="I40" s="540"/>
      <c r="J40" s="489"/>
      <c r="K40" s="489"/>
      <c r="L40" s="489"/>
      <c r="M40" s="550"/>
    </row>
    <row r="41" spans="2:13" x14ac:dyDescent="0.25">
      <c r="B41" s="887">
        <f t="shared" si="1"/>
        <v>11</v>
      </c>
      <c r="C41" s="507" t="s">
        <v>192</v>
      </c>
      <c r="D41" s="510"/>
      <c r="E41" s="489"/>
      <c r="F41" s="576">
        <v>0</v>
      </c>
      <c r="G41" s="594">
        <f t="shared" si="0"/>
        <v>0</v>
      </c>
      <c r="H41" s="540"/>
      <c r="I41" s="540"/>
      <c r="J41" s="489"/>
      <c r="K41" s="489"/>
      <c r="L41" s="489"/>
      <c r="M41" s="550"/>
    </row>
    <row r="42" spans="2:13" x14ac:dyDescent="0.25">
      <c r="B42" s="887">
        <f t="shared" si="1"/>
        <v>12</v>
      </c>
      <c r="C42" s="507" t="s">
        <v>200</v>
      </c>
      <c r="D42" s="510"/>
      <c r="E42" s="489"/>
      <c r="F42" s="576">
        <v>0</v>
      </c>
      <c r="G42" s="594">
        <f t="shared" si="0"/>
        <v>0</v>
      </c>
      <c r="H42" s="540"/>
      <c r="I42" s="540"/>
      <c r="J42" s="489"/>
      <c r="K42" s="489"/>
      <c r="L42" s="489"/>
      <c r="M42" s="550"/>
    </row>
    <row r="43" spans="2:13" x14ac:dyDescent="0.25">
      <c r="B43" s="889">
        <f t="shared" si="1"/>
        <v>13</v>
      </c>
      <c r="C43" s="508" t="s">
        <v>201</v>
      </c>
      <c r="D43" s="509"/>
      <c r="E43" s="489"/>
      <c r="F43" s="588">
        <f>-F42</f>
        <v>0</v>
      </c>
      <c r="G43" s="595"/>
      <c r="H43" s="541"/>
      <c r="I43" s="541"/>
      <c r="J43" s="489"/>
      <c r="K43" s="489"/>
      <c r="L43" s="489"/>
      <c r="M43" s="550"/>
    </row>
    <row r="44" spans="2:13" x14ac:dyDescent="0.25">
      <c r="B44" s="887">
        <f t="shared" si="1"/>
        <v>14</v>
      </c>
      <c r="C44" s="507" t="s">
        <v>210</v>
      </c>
      <c r="D44" s="865"/>
      <c r="E44" s="489"/>
      <c r="F44" s="589">
        <f>SUM(F31:F42)</f>
        <v>0</v>
      </c>
      <c r="G44" s="422">
        <f>SUM(G31:G43)</f>
        <v>0</v>
      </c>
      <c r="H44" s="542"/>
      <c r="I44" s="542"/>
      <c r="J44" s="489"/>
      <c r="K44" s="489"/>
      <c r="L44" s="489"/>
      <c r="M44" s="550"/>
    </row>
    <row r="45" spans="2:13" hidden="1" x14ac:dyDescent="0.25">
      <c r="B45" s="887">
        <f t="shared" si="1"/>
        <v>15</v>
      </c>
      <c r="C45" s="669" t="s">
        <v>134</v>
      </c>
      <c r="D45" s="866"/>
      <c r="E45" s="489"/>
      <c r="F45" s="590">
        <v>0</v>
      </c>
      <c r="G45" s="422">
        <f>IF(F45&gt;0,+F45/$F$48,0)</f>
        <v>0</v>
      </c>
      <c r="H45" s="542"/>
      <c r="I45" s="542"/>
      <c r="J45" s="489"/>
      <c r="K45" s="489"/>
      <c r="L45" s="489"/>
      <c r="M45" s="550"/>
    </row>
    <row r="46" spans="2:13" hidden="1" x14ac:dyDescent="0.25">
      <c r="B46" s="887">
        <f t="shared" si="1"/>
        <v>16</v>
      </c>
      <c r="C46" s="669" t="s">
        <v>140</v>
      </c>
      <c r="D46" s="866"/>
      <c r="E46" s="489"/>
      <c r="F46" s="590">
        <v>0</v>
      </c>
      <c r="G46" s="422">
        <f>IF(F46&gt;0,+F46/$F$48,0)</f>
        <v>0</v>
      </c>
      <c r="H46" s="542"/>
      <c r="I46" s="542"/>
      <c r="J46" s="489"/>
      <c r="K46" s="489"/>
      <c r="L46" s="489"/>
      <c r="M46" s="550"/>
    </row>
    <row r="47" spans="2:13" hidden="1" x14ac:dyDescent="0.25">
      <c r="B47" s="887">
        <f t="shared" si="1"/>
        <v>17</v>
      </c>
      <c r="C47" s="669" t="s">
        <v>141</v>
      </c>
      <c r="D47" s="866"/>
      <c r="E47" s="489"/>
      <c r="F47" s="590">
        <v>0</v>
      </c>
      <c r="G47" s="422">
        <f>IF(F47&gt;0,+F47/$F$48,0)</f>
        <v>0</v>
      </c>
      <c r="H47" s="542"/>
      <c r="I47" s="542"/>
      <c r="J47" s="489"/>
      <c r="K47" s="489"/>
      <c r="L47" s="489"/>
      <c r="M47" s="550"/>
    </row>
    <row r="48" spans="2:13" ht="15.75" thickBot="1" x14ac:dyDescent="0.3">
      <c r="B48" s="890">
        <f t="shared" si="1"/>
        <v>18</v>
      </c>
      <c r="C48" s="884" t="s">
        <v>211</v>
      </c>
      <c r="D48" s="867"/>
      <c r="E48" s="489"/>
      <c r="F48" s="423">
        <f>SUM(F31:F43)</f>
        <v>0</v>
      </c>
      <c r="G48" s="424">
        <f>SUM(G31:G41)</f>
        <v>0</v>
      </c>
      <c r="H48" s="543"/>
      <c r="I48" s="543"/>
      <c r="J48" s="489"/>
      <c r="K48" s="489"/>
      <c r="L48" s="489"/>
      <c r="M48" s="550"/>
    </row>
    <row r="49" spans="2:22" ht="15.75" hidden="1" thickBot="1" x14ac:dyDescent="0.3">
      <c r="B49" s="891">
        <f t="shared" si="1"/>
        <v>19</v>
      </c>
      <c r="C49" s="425"/>
      <c r="D49" s="334"/>
      <c r="E49" s="489"/>
      <c r="F49" s="426" t="s">
        <v>135</v>
      </c>
      <c r="G49" s="550"/>
      <c r="H49" s="489"/>
      <c r="I49" s="489"/>
      <c r="J49" s="489"/>
      <c r="K49" s="489"/>
      <c r="L49" s="489"/>
      <c r="M49" s="550"/>
    </row>
    <row r="50" spans="2:22" ht="15" hidden="1" customHeight="1" x14ac:dyDescent="0.25">
      <c r="B50" s="892">
        <f t="shared" si="1"/>
        <v>20</v>
      </c>
      <c r="C50" s="521" t="s">
        <v>147</v>
      </c>
      <c r="D50" s="522">
        <f>+D48</f>
        <v>0</v>
      </c>
      <c r="E50" s="489"/>
      <c r="F50" s="591">
        <v>0</v>
      </c>
      <c r="G50" s="550"/>
      <c r="H50" s="489"/>
      <c r="I50" s="489"/>
      <c r="J50" s="489"/>
      <c r="K50" s="489"/>
      <c r="L50" s="489"/>
      <c r="M50" s="550"/>
    </row>
    <row r="51" spans="2:22" x14ac:dyDescent="0.25">
      <c r="B51" s="893">
        <f t="shared" si="1"/>
        <v>21</v>
      </c>
      <c r="C51" s="913" t="s">
        <v>398</v>
      </c>
      <c r="D51" s="914"/>
      <c r="E51" s="520"/>
      <c r="F51" s="577">
        <v>0</v>
      </c>
      <c r="G51" s="928">
        <f>IF(F51&gt;0,F51/SUM($F$50:$F$54),0)</f>
        <v>0</v>
      </c>
      <c r="H51" s="489"/>
      <c r="I51" s="489"/>
      <c r="J51" s="489"/>
      <c r="K51" s="489"/>
      <c r="L51" s="489"/>
      <c r="M51" s="550"/>
    </row>
    <row r="52" spans="2:22" x14ac:dyDescent="0.25">
      <c r="B52" s="894">
        <f t="shared" si="1"/>
        <v>22</v>
      </c>
      <c r="C52" s="507" t="s">
        <v>399</v>
      </c>
      <c r="D52" s="915"/>
      <c r="E52" s="129"/>
      <c r="F52" s="576">
        <v>0</v>
      </c>
      <c r="G52" s="929">
        <f t="shared" ref="G52:G54" si="2">IF(F52&gt;0,F52/SUM($F$50:$F$54),0)</f>
        <v>0</v>
      </c>
      <c r="H52" s="489"/>
      <c r="I52" s="489"/>
      <c r="J52" s="489"/>
      <c r="K52" s="489"/>
      <c r="L52" s="489"/>
      <c r="M52" s="550"/>
      <c r="N52" s="475">
        <f>IF(N54*0.3&gt;+G16*3800,G16*3800,N54*0.3)</f>
        <v>0</v>
      </c>
    </row>
    <row r="53" spans="2:22" x14ac:dyDescent="0.25">
      <c r="B53" s="894">
        <f t="shared" si="1"/>
        <v>23</v>
      </c>
      <c r="C53" s="507" t="s">
        <v>396</v>
      </c>
      <c r="D53" s="915"/>
      <c r="E53" s="129"/>
      <c r="F53" s="576">
        <v>0</v>
      </c>
      <c r="G53" s="929">
        <f t="shared" si="2"/>
        <v>0</v>
      </c>
      <c r="H53" s="489"/>
      <c r="I53" s="489"/>
      <c r="J53" s="489"/>
      <c r="K53" s="489"/>
      <c r="L53" s="489"/>
      <c r="M53" s="550"/>
      <c r="N53" s="475">
        <f>+G17*25</f>
        <v>18442925</v>
      </c>
      <c r="O53" s="219">
        <f>+N53/0.4</f>
        <v>46107312.5</v>
      </c>
    </row>
    <row r="54" spans="2:22" ht="15.75" thickBot="1" x14ac:dyDescent="0.3">
      <c r="B54" s="894">
        <f t="shared" si="1"/>
        <v>24</v>
      </c>
      <c r="C54" s="507" t="s">
        <v>397</v>
      </c>
      <c r="D54" s="915"/>
      <c r="E54" s="670"/>
      <c r="F54" s="576">
        <v>0</v>
      </c>
      <c r="G54" s="929">
        <f t="shared" si="2"/>
        <v>0</v>
      </c>
      <c r="H54" s="489"/>
      <c r="I54" s="489"/>
      <c r="J54" s="489"/>
      <c r="K54" s="489"/>
      <c r="L54" s="489"/>
      <c r="M54" s="550"/>
      <c r="N54" s="475">
        <f>IF(D44="MENSUAL",+F44*13,F44)</f>
        <v>0</v>
      </c>
    </row>
    <row r="55" spans="2:22" s="499" customFormat="1" ht="15" hidden="1" customHeight="1" x14ac:dyDescent="0.25">
      <c r="B55" s="861">
        <f t="shared" si="1"/>
        <v>25</v>
      </c>
      <c r="C55" s="861" t="e">
        <f>IF(N55=TRUE,"ATENCIÓN: EL CONTRIBUYENTE TIENE LA CATEGORÍA DE EMPLEADO Y USTED ELIGIÓ A UN INDEPENDIENTE SIN CATEGORÍA DE EMPLEADO","")</f>
        <v>#REF!</v>
      </c>
      <c r="D55" s="862"/>
      <c r="E55" s="862"/>
      <c r="F55" s="862"/>
      <c r="G55" s="863"/>
      <c r="H55" s="692"/>
      <c r="I55" s="692"/>
      <c r="J55" s="692"/>
      <c r="K55" s="692"/>
      <c r="L55" s="692"/>
      <c r="M55" s="693"/>
      <c r="N55" s="321" t="e">
        <f>AND(#REF!="SI",C10="PARA TRABAJADORES INDEPENDIENTES SIN CATEGORÍA DE EMPLEADOS")</f>
        <v>#REF!</v>
      </c>
      <c r="O55" s="321" t="e">
        <f>AND(#REF!="SI",F44&gt;F45,C10="PARA ASALARIADOS CON CATEGORÍA DE EMPLEADOS")</f>
        <v>#REF!</v>
      </c>
    </row>
    <row r="56" spans="2:22" s="499" customFormat="1" ht="15" hidden="1" customHeight="1" thickBot="1" x14ac:dyDescent="0.3">
      <c r="B56" s="858">
        <f t="shared" si="1"/>
        <v>26</v>
      </c>
      <c r="C56" s="858" t="e">
        <f>IF(O55=FALSE,"ATENCIÓN: ELIJA LA OPCIÓN ADECUADA SEGÚN EL MONTO DE LOS INGRESOS","")</f>
        <v>#REF!</v>
      </c>
      <c r="D56" s="859"/>
      <c r="E56" s="859"/>
      <c r="F56" s="859"/>
      <c r="G56" s="864"/>
      <c r="H56" s="694"/>
      <c r="I56" s="694"/>
      <c r="J56" s="694"/>
      <c r="K56" s="694"/>
      <c r="L56" s="694"/>
      <c r="M56" s="695"/>
      <c r="N56" s="321"/>
      <c r="O56" s="321"/>
    </row>
    <row r="57" spans="2:22" ht="57.75" customHeight="1" thickBot="1" x14ac:dyDescent="0.3">
      <c r="B57" s="908"/>
      <c r="C57" s="888" t="s">
        <v>21</v>
      </c>
      <c r="D57" s="561"/>
      <c r="E57" s="207" t="s">
        <v>3</v>
      </c>
      <c r="F57" s="207" t="s">
        <v>218</v>
      </c>
      <c r="G57" s="498" t="s">
        <v>101</v>
      </c>
      <c r="H57" s="489"/>
      <c r="I57" s="498"/>
      <c r="J57" s="1021" t="s">
        <v>156</v>
      </c>
      <c r="K57" s="1022"/>
      <c r="L57" s="1021" t="s">
        <v>115</v>
      </c>
      <c r="M57" s="1022"/>
      <c r="N57" s="208"/>
    </row>
    <row r="58" spans="2:22" ht="15.75" hidden="1" thickBot="1" x14ac:dyDescent="0.3">
      <c r="B58" s="895">
        <f t="shared" si="1"/>
        <v>1</v>
      </c>
      <c r="C58" s="285"/>
      <c r="D58" s="489"/>
      <c r="E58" s="209"/>
      <c r="F58" s="209"/>
      <c r="G58" s="279"/>
      <c r="H58" s="489"/>
      <c r="I58" s="267"/>
      <c r="J58" s="210"/>
      <c r="K58" s="279"/>
      <c r="L58" s="210"/>
      <c r="M58" s="279"/>
    </row>
    <row r="59" spans="2:22" x14ac:dyDescent="0.25">
      <c r="B59" s="896">
        <f>+B54+1</f>
        <v>25</v>
      </c>
      <c r="C59" s="597" t="s">
        <v>221</v>
      </c>
      <c r="D59" s="598"/>
      <c r="E59" s="599">
        <f>IF(C10="PARA TRABAJADORES INDEPENDIENTES SIN CATEGORÍA DE EMPLEADOS",0,+F44+F45)</f>
        <v>0</v>
      </c>
      <c r="F59" s="600"/>
      <c r="G59" s="601">
        <f>+F48</f>
        <v>0</v>
      </c>
      <c r="H59" s="489"/>
      <c r="I59" s="275"/>
      <c r="J59" s="503"/>
      <c r="K59" s="331">
        <f>+G59</f>
        <v>0</v>
      </c>
      <c r="L59" s="212"/>
      <c r="M59" s="331">
        <f>IF(C10="PARA TRABAJADORES INDEPENDIENTES SIN CATEGORÍA DE EMPLEADOS",0,F44+F45)</f>
        <v>0</v>
      </c>
      <c r="N59" s="475">
        <f>+G59*F80</f>
        <v>0</v>
      </c>
      <c r="O59" s="475">
        <f>IF(N59&gt;N64,N64,N59)</f>
        <v>0</v>
      </c>
      <c r="R59" s="326"/>
      <c r="U59" s="726"/>
    </row>
    <row r="60" spans="2:22" x14ac:dyDescent="0.25">
      <c r="B60" s="904"/>
      <c r="C60" s="554" t="s">
        <v>285</v>
      </c>
      <c r="D60" s="489"/>
      <c r="E60" s="330"/>
      <c r="F60" s="209"/>
      <c r="G60" s="331"/>
      <c r="H60" s="489"/>
      <c r="I60" s="275"/>
      <c r="J60" s="503"/>
      <c r="K60" s="331"/>
      <c r="L60" s="503"/>
      <c r="M60" s="331"/>
      <c r="O60" s="475"/>
      <c r="R60" s="326"/>
      <c r="V60" s="686"/>
    </row>
    <row r="61" spans="2:22" x14ac:dyDescent="0.25">
      <c r="B61" s="904">
        <f>+B59+1</f>
        <v>26</v>
      </c>
      <c r="C61" s="285" t="s">
        <v>297</v>
      </c>
      <c r="D61" s="489"/>
      <c r="E61" s="330">
        <f>IF(C10="PARA TRABAJADORES INDEPENDIENTES SIN CATEGORÍA DE EMPLEADOS",0,IF(F44&gt;0,IF(E63&lt;0,0,-IF($F$44&gt;$N$53,$N$53*$F$61,$F$44*$F$61)),0))</f>
        <v>0</v>
      </c>
      <c r="F61" s="559">
        <v>0.04</v>
      </c>
      <c r="G61" s="331">
        <f>-ROUND(IF(F48&gt;0,IF(G63&lt;0,0,IF(SUM(F31:F37)&gt;Datos!H33/30*G28,Datos!H33/30*G28*F61,SUM(F31:F37)*F61)),0),-2)</f>
        <v>0</v>
      </c>
      <c r="H61" s="489"/>
      <c r="I61" s="275"/>
      <c r="J61" s="275"/>
      <c r="K61" s="331">
        <f>IF(F44&gt;0,IF(K63&lt;0,0,-IF($F$44&gt;$N$53,$N$53*$F$61,$F$44*$F$61)),0)</f>
        <v>0</v>
      </c>
      <c r="L61" s="275"/>
      <c r="M61" s="331">
        <f>IF($C$10="PARA TRABAJADORES INDEPENDIENTES SIN CATEGORÍA DE EMPLEADOS",0,IF(F44&gt;0,IF(M63&lt;0,0,-IF($F$44&gt;$N$53,$N$53*$F$61,$F$44*$F$61)),0))</f>
        <v>0</v>
      </c>
      <c r="O61" s="217">
        <f>+G64+G80</f>
        <v>0</v>
      </c>
      <c r="R61" s="475"/>
      <c r="V61" s="741"/>
    </row>
    <row r="62" spans="2:22" x14ac:dyDescent="0.25">
      <c r="B62" s="904">
        <f t="shared" si="1"/>
        <v>27</v>
      </c>
      <c r="C62" s="285" t="s">
        <v>164</v>
      </c>
      <c r="D62" s="489"/>
      <c r="E62" s="330">
        <f>IF(C10="PARA TRABAJADORES INDEPENDIENTES SIN CATEGORÍA DE EMPLEADOS",0,IF($C$10&lt;&gt;"PARA ASALARIADOS CON CATEGORÍA DE EMPLEADOS",IF(E63&lt;0,0,-IF($F$45*0.4&gt;$N$53,$N$53*$F$62,$F$45*0.4*$F$62)),IF(E63&lt;0,0,-IF($F$45*0.4&gt;$N$53,$N$53*$F$62,$F$45*0.4*$F$62))))</f>
        <v>0</v>
      </c>
      <c r="F62" s="559">
        <v>0.125</v>
      </c>
      <c r="G62" s="331">
        <f>-ROUND(IF($C$10&lt;&gt;"PARA ASALARIADOS CON CATEGORÍA DE EMPLEADOS",IF(G63&lt;0,0,-IF($F$45*0.4&gt;Datos!H33/30*G28,Datos!H33/30*G28*$F$62,$F$45*0.4*$F$62)),IF(G63&lt;0,0,-IF($F$45*0.4&gt;Datos!H33/30*G28,Datos!H33/30*G28*$F$62,$F$45*0.4*$F$62))),-2)</f>
        <v>0</v>
      </c>
      <c r="H62" s="489"/>
      <c r="I62" s="275"/>
      <c r="J62" s="275"/>
      <c r="K62" s="331">
        <f>IF($C$10&lt;&gt;"PARA ASALARIADOS CON CATEGORÍA DE EMPLEADOS",IF(K63&lt;0,0,-IF($F$45*0.4&gt;$N$53,$N$53*$F$62,$F$45*0.4*$F$62)),IF(K63&lt;0,0,-IF($F$45*0.4&gt;$N$53,$N$53*$F$62,$F$45*0.4*$F$62)))</f>
        <v>0</v>
      </c>
      <c r="L62" s="275"/>
      <c r="M62" s="331">
        <f>IF(C10="PARA TRABAJADORES INDEPENDIENTES SIN CATEGORÍA DE EMPLEADOS",0,IF($C$10&lt;&gt;"PARA ASALARIADOS CON CATEGORÍA DE EMPLEADOS",IF(M63&lt;0,0,-IF($F$45*0.4&gt;$N$53,$N$53*$F$62,$F$45*0.4*$F$62)),IF(M63&lt;0,0,-IF($F$45*0.4&gt;$N$53,$N$53*$F$62,$F$45*0.4*$F$62))))</f>
        <v>0</v>
      </c>
      <c r="O62" s="217">
        <f>+G65+G75</f>
        <v>0</v>
      </c>
      <c r="R62" s="475"/>
    </row>
    <row r="63" spans="2:22" ht="30.95" customHeight="1" x14ac:dyDescent="0.25">
      <c r="B63" s="999">
        <f t="shared" si="1"/>
        <v>28</v>
      </c>
      <c r="C63" s="1019" t="s">
        <v>394</v>
      </c>
      <c r="D63" s="1020"/>
      <c r="E63" s="214">
        <f>IF(C10="PARA TRABAJADORES INDEPENDIENTES SIN CATEGORÍA DE EMPLEADOS",0,G63)</f>
        <v>0</v>
      </c>
      <c r="F63" s="559"/>
      <c r="G63" s="1000">
        <v>0</v>
      </c>
      <c r="H63" s="489"/>
      <c r="I63" s="592"/>
      <c r="J63" s="524"/>
      <c r="K63" s="280">
        <f>+E63</f>
        <v>0</v>
      </c>
      <c r="L63" s="215"/>
      <c r="M63" s="280">
        <f>IF(C10="PARA TRABAJADORES INDEPENDIENTES SIN CATEGORÍA DE EMPLEADOS",0,G63)</f>
        <v>0</v>
      </c>
      <c r="O63" s="217"/>
    </row>
    <row r="64" spans="2:22" x14ac:dyDescent="0.25">
      <c r="B64" s="904">
        <f t="shared" si="1"/>
        <v>29</v>
      </c>
      <c r="C64" s="285" t="s">
        <v>160</v>
      </c>
      <c r="D64" s="489"/>
      <c r="E64" s="330">
        <f>IF(C10="PARA TRABAJADORES INDEPENDIENTES SIN CATEGORÍA DE EMPLEADOS",0,IF(F44&gt;0,IF(E66&lt;0,0,-IF($F$44&gt;$N$53,$N$53*$F$64,$F$44*$F$64)),0))</f>
        <v>0</v>
      </c>
      <c r="F64" s="559">
        <f>IF(C10="PARA ASALARIADOS CON CATEGORÍA DE EMPLEADOS",IF(APPensiones!J3&gt;0,APPensiones!J3,APPensiones!J4),IF(APPensiones!J3&gt;0,APPensiones!J3,APPensiones!J4))</f>
        <v>0.04</v>
      </c>
      <c r="G64" s="331">
        <f>-ROUND(IF(F48&gt;0,IF(G66&lt;0,0,IF(SUM(F31:F37)&gt;Datos!H33/30*G28,Datos!H33/30*G28*F64,SUM(F31:F37)*$F$64)),0),-2)</f>
        <v>0</v>
      </c>
      <c r="H64" s="728"/>
      <c r="I64" s="275"/>
      <c r="J64" s="275"/>
      <c r="K64" s="331">
        <f>IF(F44&gt;0,IF(K66&lt;0,0,-IF($F$44&gt;$N$53,$N$53*$F$64,$F$44*$F$64)),0)</f>
        <v>0</v>
      </c>
      <c r="L64" s="275"/>
      <c r="M64" s="331">
        <f>IF($C$10="PARA TRABAJADORES INDEPENDIENTES SIN CATEGORÍA DE EMPLEADOS",0,IF(F44&gt;0,IF(M66&lt;0,0,-IF($F$44&gt;$N$53,$N$53*$F$64,$F$44*$F$64)),0))</f>
        <v>0</v>
      </c>
      <c r="N64" s="475">
        <f>+G16*3800</f>
        <v>121064200</v>
      </c>
      <c r="O64" s="475">
        <f>IF((F51+F52)&gt;O59,O59,F51+F52)</f>
        <v>0</v>
      </c>
      <c r="R64" s="475"/>
      <c r="V64" s="741"/>
    </row>
    <row r="65" spans="2:23" hidden="1" x14ac:dyDescent="0.25">
      <c r="B65" s="904">
        <f t="shared" si="1"/>
        <v>30</v>
      </c>
      <c r="C65" s="285" t="s">
        <v>161</v>
      </c>
      <c r="D65" s="489"/>
      <c r="E65" s="330">
        <f>IF(C10="PARA TRABAJADORES INDEPENDIENTES SIN CATEGORÍA DE EMPLEADOS",0,IF($C$10&lt;&gt;"PARA ASALARIADOS CON CATEGORÍA DE EMPLEADOS",IF(E66&lt;0,0,-IF($F$45*0.4&gt;$N$53,$N$53*$F$65,$F$45*0.4*$F$65)),IF(E66&lt;0,0,-IF($F$45*0.4&gt;$N$53,$N$53*$F$65,$F$45*0.4*$F$65))))</f>
        <v>0</v>
      </c>
      <c r="F65" s="559">
        <f>IF(C14="PARA ASALARIADOS CON CATEGORÍA DE EMPLEADOS",IF(APPensiones!J48&gt;0,APPensiones!J48,APPensiones!J49),IF(APPensiones!J48&gt;0,APPensiones!J48,APPensiones!J49)+12%)</f>
        <v>0.16</v>
      </c>
      <c r="G65" s="331">
        <f>IF($C$10&lt;&gt;"PARA ASALARIADOS CON CATEGORÍA DE EMPLEADOS",IF(G66&lt;0,0,-IF($F$45*0.4&gt;$N$53,$N$53*$F$65,$F$45*0.4*$F$65)),IF(G66&lt;0,0,-IF($F$45*0.4&gt;$N$53,$N$53*$F$65,$F$45*0.4*$F$65)))</f>
        <v>0</v>
      </c>
      <c r="H65" s="489"/>
      <c r="I65" s="275"/>
      <c r="J65" s="275"/>
      <c r="K65" s="331">
        <f>IF($C$10&lt;&gt;"PARA ASALARIADOS CON CATEGORÍA DE EMPLEADOS",IF(K66&lt;0,0,-IF($F$45*0.4&gt;$N$53,$N$53*$F$65,$F$45*0.4*$F$65)),IF(K66&lt;0,0,-IF($F$45*0.4&gt;$N$53,$N$53*$F$65,$F$45*0.4*$F$65)))</f>
        <v>0</v>
      </c>
      <c r="L65" s="275"/>
      <c r="M65" s="331">
        <f>IF(C10="PARA TRABAJADORES INDEPENDIENTES SIN CATEGORÍA DE EMPLEADOS",0,IF($C$10&lt;&gt;"PARA ASALARIADOS CON CATEGORÍA DE EMPLEADOS",IF(M66&lt;0,0,-IF($F$45*0.4&gt;$N$53,$N$53*$F$65,$F$45*0.4*$F$65)),IF(M66&lt;0,0,-IF($F$45*0.4&gt;$N$53,$N$53*$F$65,$F$45*0.4*$F$65))))</f>
        <v>0</v>
      </c>
      <c r="N65" s="475">
        <f>+G17*3800</f>
        <v>2803324600</v>
      </c>
      <c r="O65" s="475">
        <f>IF((F52+E55)&gt;O64,O64,F52+E55)</f>
        <v>0</v>
      </c>
      <c r="R65" s="475"/>
    </row>
    <row r="66" spans="2:23" ht="30.95" customHeight="1" thickBot="1" x14ac:dyDescent="0.3">
      <c r="B66" s="999">
        <f t="shared" si="1"/>
        <v>31</v>
      </c>
      <c r="C66" s="1019" t="s">
        <v>395</v>
      </c>
      <c r="D66" s="1020"/>
      <c r="E66" s="214" t="s">
        <v>394</v>
      </c>
      <c r="F66" s="559"/>
      <c r="G66" s="1000">
        <v>0</v>
      </c>
      <c r="H66" s="489"/>
      <c r="I66" s="592"/>
      <c r="J66" s="524"/>
      <c r="K66" s="280" t="str">
        <f>+E66</f>
        <v>Escriba en esta casilla el valor de los aportes obligatorios a salud cuando el valor calculado sea diferente al valor real o cuando se trate de un empleado con salario integral</v>
      </c>
      <c r="L66" s="215"/>
      <c r="M66" s="280">
        <f>IF(C10="PARA TRABAJADORES INDEPENDIENTES SIN CATEGORÍA DE EMPLEADOS",0,G66)</f>
        <v>0</v>
      </c>
      <c r="O66" s="475"/>
      <c r="R66" s="475"/>
    </row>
    <row r="67" spans="2:23" ht="15.75" hidden="1" thickBot="1" x14ac:dyDescent="0.3">
      <c r="B67" s="905">
        <f t="shared" si="1"/>
        <v>32</v>
      </c>
      <c r="C67" s="868" t="s">
        <v>121</v>
      </c>
      <c r="D67" s="869"/>
      <c r="E67" s="870">
        <f>IF(C10="PARA TRABAJADORES INDEPENDIENTES SIN CATEGORÍA DE EMPLEADOS",0,IF($C$10="PARA ASALARIADOS CON CATEGORÍA DE EMPLEADOS",0,IF(E68&lt;0,0,-IF($F$45*0.4&gt;$N$53,$N$53*$F$67,$F$45*0.4*$F$67))))</f>
        <v>0</v>
      </c>
      <c r="F67" s="871" t="s">
        <v>291</v>
      </c>
      <c r="G67" s="872">
        <f>IF($C$10="PARA ASALARIADOS CON CATEGORÍA DE EMPLEADOS",0,IF(G68&lt;0,0,-IF($F$45*0.4&gt;$N$53,$N$53*$F$67,$F$45*0.4*$F$67)))</f>
        <v>0</v>
      </c>
      <c r="H67" s="489"/>
      <c r="I67" s="275"/>
      <c r="J67" s="275"/>
      <c r="K67" s="331">
        <f>IF($C$10="PARA ASALARIADOS CON CATEGORÍA DE EMPLEADOS",0,IF(K68&lt;0,0,-IF($F$45*0.4&gt;$N$53,$N$53*$F$67,$F$45*0.4*$F$67)))</f>
        <v>0</v>
      </c>
      <c r="L67" s="275"/>
      <c r="M67" s="331">
        <f>IF(C10="PARA TRABAJADORES INDEPENDIENTES SIN CATEGORÍA DE EMPLEADOS",0,IF($C$10="PARA ASALARIADOS CON CATEGORÍA DE EMPLEADOS",0,IF(M68&lt;0,0,-IF($F$45*0.4&gt;$N$53,$N$53*$F$67,$F$45*0.4*$F$67))))</f>
        <v>0</v>
      </c>
      <c r="O67" s="217"/>
    </row>
    <row r="68" spans="2:23" ht="15.75" hidden="1" thickBot="1" x14ac:dyDescent="0.3">
      <c r="B68" s="905">
        <f t="shared" si="1"/>
        <v>33</v>
      </c>
      <c r="C68" s="868" t="s">
        <v>355</v>
      </c>
      <c r="D68" s="869"/>
      <c r="E68" s="870">
        <f>IF(C10="PARA TRABAJADORES INDEPENDIENTES SIN CATEGORÍA DE EMPLEADOS",0,G68)</f>
        <v>0</v>
      </c>
      <c r="F68" s="873"/>
      <c r="G68" s="874">
        <v>0</v>
      </c>
      <c r="H68" s="489"/>
      <c r="I68" s="592"/>
      <c r="J68" s="524"/>
      <c r="K68" s="280">
        <f>+E68</f>
        <v>0</v>
      </c>
      <c r="L68" s="215"/>
      <c r="M68" s="280">
        <f>IF(C10="PARA TRABAJADORES INDEPENDIENTES SIN CATEGORÍA DE EMPLEADOS",0,G68)</f>
        <v>0</v>
      </c>
      <c r="O68" s="217"/>
    </row>
    <row r="69" spans="2:23" ht="15.75" thickBot="1" x14ac:dyDescent="0.3">
      <c r="B69" s="898">
        <f t="shared" si="1"/>
        <v>34</v>
      </c>
      <c r="C69" s="642" t="s">
        <v>356</v>
      </c>
      <c r="D69" s="643"/>
      <c r="E69" s="644"/>
      <c r="F69" s="645"/>
      <c r="G69" s="646">
        <f>SUM(G59:G68)</f>
        <v>0</v>
      </c>
      <c r="H69" s="489"/>
      <c r="I69" s="544"/>
      <c r="J69" s="525"/>
      <c r="K69" s="506"/>
      <c r="L69" s="323"/>
      <c r="M69" s="502"/>
      <c r="O69" s="217"/>
      <c r="R69" s="475"/>
      <c r="S69" s="475"/>
      <c r="T69" s="687"/>
    </row>
    <row r="70" spans="2:23" ht="15.75" thickBot="1" x14ac:dyDescent="0.3">
      <c r="B70" s="899">
        <f t="shared" si="1"/>
        <v>35</v>
      </c>
      <c r="C70" s="763" t="s">
        <v>370</v>
      </c>
      <c r="D70" s="764"/>
      <c r="E70" s="765"/>
      <c r="F70" s="766"/>
      <c r="G70" s="767">
        <f>IF(F28&gt;=12,G69/13,G69/G28*30)</f>
        <v>0</v>
      </c>
      <c r="H70" s="489"/>
      <c r="I70" s="545"/>
      <c r="J70" s="275"/>
      <c r="K70" s="331"/>
      <c r="L70" s="323"/>
      <c r="M70" s="502"/>
      <c r="O70" s="217"/>
      <c r="R70" s="475"/>
      <c r="S70" s="475"/>
      <c r="T70" s="687"/>
    </row>
    <row r="71" spans="2:23" s="610" customFormat="1" hidden="1" x14ac:dyDescent="0.25">
      <c r="B71" s="900">
        <f t="shared" si="1"/>
        <v>36</v>
      </c>
      <c r="C71" s="602"/>
      <c r="D71" s="603"/>
      <c r="E71" s="604"/>
      <c r="F71" s="605"/>
      <c r="G71" s="606"/>
      <c r="H71" s="607"/>
      <c r="I71" s="545"/>
      <c r="J71" s="275"/>
      <c r="K71" s="331"/>
      <c r="L71" s="323"/>
      <c r="M71" s="608"/>
      <c r="N71" s="322"/>
      <c r="O71" s="609"/>
      <c r="R71" s="322"/>
      <c r="S71" s="322"/>
      <c r="T71" s="322"/>
    </row>
    <row r="72" spans="2:23" x14ac:dyDescent="0.25">
      <c r="B72" s="904"/>
      <c r="C72" s="554" t="s">
        <v>286</v>
      </c>
      <c r="D72" s="489"/>
      <c r="E72" s="330"/>
      <c r="F72" s="213"/>
      <c r="G72" s="331"/>
      <c r="H72" s="489"/>
      <c r="I72" s="275"/>
      <c r="J72" s="275"/>
      <c r="K72" s="331"/>
      <c r="L72" s="323"/>
      <c r="M72" s="502"/>
      <c r="O72" s="217"/>
      <c r="R72" s="475"/>
      <c r="S72" s="475"/>
      <c r="T72" s="687"/>
    </row>
    <row r="73" spans="2:23" x14ac:dyDescent="0.25">
      <c r="B73" s="904">
        <f>+B70+1</f>
        <v>36</v>
      </c>
      <c r="C73" s="555" t="s">
        <v>207</v>
      </c>
      <c r="D73" s="489"/>
      <c r="E73" s="330"/>
      <c r="F73" s="213"/>
      <c r="G73" s="578">
        <v>0</v>
      </c>
      <c r="H73" s="489"/>
      <c r="I73" s="592"/>
      <c r="J73" s="275"/>
      <c r="K73" s="331"/>
      <c r="L73" s="323"/>
      <c r="M73" s="502"/>
      <c r="O73" s="217"/>
      <c r="R73" s="475"/>
      <c r="S73" s="475"/>
      <c r="T73" s="687"/>
    </row>
    <row r="74" spans="2:23" ht="15.75" thickBot="1" x14ac:dyDescent="0.3">
      <c r="B74" s="904"/>
      <c r="C74" s="554" t="s">
        <v>287</v>
      </c>
      <c r="D74" s="489"/>
      <c r="E74" s="330"/>
      <c r="F74" s="559"/>
      <c r="G74" s="529"/>
      <c r="H74" s="489"/>
      <c r="I74" s="545"/>
      <c r="J74" s="275"/>
      <c r="K74" s="331"/>
      <c r="L74" s="323"/>
      <c r="M74" s="502"/>
      <c r="O74" s="217"/>
      <c r="R74" s="475"/>
      <c r="S74" s="475"/>
      <c r="T74" s="687"/>
    </row>
    <row r="75" spans="2:23" ht="15.75" thickTop="1" x14ac:dyDescent="0.25">
      <c r="B75" s="904">
        <f>+B73+1</f>
        <v>37</v>
      </c>
      <c r="C75" s="285" t="s">
        <v>8</v>
      </c>
      <c r="D75" s="489"/>
      <c r="E75" s="214">
        <v>0</v>
      </c>
      <c r="F75" s="218">
        <v>16</v>
      </c>
      <c r="G75" s="331">
        <f>-ROUND(IF($F$53&gt;$F$75*$G$16,$F$75*$G$16,$F$53),-3)</f>
        <v>0</v>
      </c>
      <c r="H75" s="489"/>
      <c r="I75" s="524"/>
      <c r="J75" s="524"/>
      <c r="K75" s="280">
        <v>0</v>
      </c>
      <c r="L75" s="215"/>
      <c r="M75" s="280">
        <f>IF(C10="PARA TRABAJADORES INDEPENDIENTES SIN CATEGORÍA DE EMPLEADOS",0,-IF($F$53&gt;$F$75*$G$16,$F$75*$G$16,$F$53))</f>
        <v>0</v>
      </c>
      <c r="P75" s="154" t="e">
        <f>IF(O59&lt;IF((+M59-M82)&gt;0,0,-(+M59-M82)),IF(-(+M59-M82)&gt;0,0,-(+M59-M82)),-O59-M64)</f>
        <v>#REF!</v>
      </c>
      <c r="U75" s="747" t="s">
        <v>304</v>
      </c>
      <c r="V75" s="741"/>
    </row>
    <row r="76" spans="2:23" ht="15.75" customHeight="1" x14ac:dyDescent="0.25">
      <c r="B76" s="904">
        <f t="shared" si="1"/>
        <v>38</v>
      </c>
      <c r="C76" s="285" t="s">
        <v>23</v>
      </c>
      <c r="D76" s="489"/>
      <c r="E76" s="214">
        <v>0</v>
      </c>
      <c r="F76" s="218">
        <v>100</v>
      </c>
      <c r="G76" s="331">
        <f>-ROUND(IF($F$54&gt;$G$16*$F$76,$G$16*$F$76,$F$54),-3)</f>
        <v>0</v>
      </c>
      <c r="H76" s="489"/>
      <c r="I76" s="524"/>
      <c r="J76" s="524"/>
      <c r="K76" s="280">
        <v>0</v>
      </c>
      <c r="L76" s="215"/>
      <c r="M76" s="327" t="e">
        <f>IF(#REF!&gt;-G16*F76,#REF!,IF(#REF!&lt;0,IF(C10="PARA TRABAJADORES INDEPENDIENTES SIN CATEGORÍA DE EMPLEADOS",0,-IF($F$54&gt;$G$16*$F$76,$G$16*$F$76,$F$54)),#REF!))</f>
        <v>#REF!</v>
      </c>
      <c r="U76" s="748" t="s">
        <v>305</v>
      </c>
      <c r="V76" s="741"/>
    </row>
    <row r="77" spans="2:23" ht="19.5" thickBot="1" x14ac:dyDescent="0.35">
      <c r="B77" s="904">
        <f t="shared" si="1"/>
        <v>39</v>
      </c>
      <c r="C77" s="285" t="s">
        <v>231</v>
      </c>
      <c r="D77" s="489"/>
      <c r="E77" s="504">
        <v>0</v>
      </c>
      <c r="F77" s="827" t="s">
        <v>15</v>
      </c>
      <c r="G77" s="825">
        <f>-ROUND(IF($F$77="SI",IF(G28&lt;360,IF(G59/G28*30*0.1&lt;32*$G$16,G59/G28*30*0.1,32*$G$16),IF(G59/13*0.1&lt;32*$G$16,G59/13*0.1,32*$G$16)),0),-3)</f>
        <v>0</v>
      </c>
      <c r="H77" s="689"/>
      <c r="I77" s="546"/>
      <c r="J77" s="526"/>
      <c r="K77" s="505">
        <v>0</v>
      </c>
      <c r="L77" s="215"/>
      <c r="M77" s="280">
        <f>-IF($F$77="SI",IF(M59*0.1&lt;32*$G$16,M59*0.1,32*$G$16),0)</f>
        <v>0</v>
      </c>
      <c r="O77" s="687"/>
      <c r="R77" s="501"/>
      <c r="U77" s="749">
        <f>ROUND(IF(U80&lt;F51+F52,-(F51+F52)+U80,G80+U80),-3)</f>
        <v>0</v>
      </c>
      <c r="V77" s="741"/>
    </row>
    <row r="78" spans="2:23" x14ac:dyDescent="0.25">
      <c r="B78" s="904"/>
      <c r="C78" s="554" t="s">
        <v>294</v>
      </c>
      <c r="D78" s="489"/>
      <c r="E78" s="330"/>
      <c r="F78" s="213"/>
      <c r="G78" s="331"/>
      <c r="H78" s="489"/>
      <c r="I78" s="275"/>
      <c r="J78" s="275"/>
      <c r="K78" s="331"/>
      <c r="L78" s="323"/>
      <c r="M78" s="502"/>
      <c r="N78" s="687"/>
      <c r="O78" s="217"/>
      <c r="R78" s="687"/>
      <c r="S78" s="687"/>
      <c r="T78" s="687"/>
      <c r="U78" s="748" t="s">
        <v>293</v>
      </c>
      <c r="V78" s="1001"/>
      <c r="W78" s="689"/>
    </row>
    <row r="79" spans="2:23" ht="15" hidden="1" customHeight="1" x14ac:dyDescent="0.25">
      <c r="B79" s="906">
        <f t="shared" si="1"/>
        <v>1</v>
      </c>
      <c r="C79" s="885"/>
      <c r="D79" s="489"/>
      <c r="E79" s="489"/>
      <c r="F79" s="489"/>
      <c r="G79" s="550"/>
      <c r="H79" s="489"/>
      <c r="I79" s="524"/>
      <c r="J79" s="524"/>
      <c r="K79" s="216">
        <f>IF(C10="PARA TRABAJADORES INDEPENDIENTES SIN CATEGORÍA DE EMPLEADOS",0,IF(C10="PARA TRABAJADORES INDEPENDIENTES SIN CATEGORÍA DE EMPLEADOS",0,-IF(K82*25%&gt;G16*F83,G16*F83,K82*25%)))</f>
        <v>0</v>
      </c>
      <c r="L79" s="215"/>
      <c r="M79" s="280">
        <f>IF(C10="PARA TRABAJADORES INDEPENDIENTES SIN CATEGORÍA DE EMPLEADOS",0,-IF(M88*25%/75%&gt;G16*F83,G16*F83,M88*25%/75%))</f>
        <v>0</v>
      </c>
      <c r="Q79" s="566"/>
      <c r="V79" s="1001"/>
    </row>
    <row r="80" spans="2:23" ht="19.5" thickBot="1" x14ac:dyDescent="0.35">
      <c r="B80" s="904">
        <f>+B77+1</f>
        <v>40</v>
      </c>
      <c r="C80" s="285" t="s">
        <v>393</v>
      </c>
      <c r="D80" s="998"/>
      <c r="E80" s="319">
        <v>0</v>
      </c>
      <c r="F80" s="559">
        <v>0.3</v>
      </c>
      <c r="G80" s="331">
        <f>ROUND(IF(G28&lt;360,(IF(-IF((F51+F52)/G28*30&gt;=(G59/G28*30)*F80,(G59/G28*30)*F80,(F51+F52)/G28*30)&lt;-Datos!G28,-Datos!G28,-IF((F51+F52)/G28*30&gt;=(G59/G28*30)*F80,(G59/G28*30)*F80,+(F51+F52)/G28*30))),IF(-IF((F51+F52)/13&gt;(G59/13)*F80,(G59/13)*F80,(F51+F52)/13)&lt;-Datos!G28,-Datos!G28,-IF((F51+F52)/13&gt;(G59/13)*F80,(G59/13)*F80,+(F51+F52)/13))),-3)</f>
        <v>0</v>
      </c>
      <c r="H80" s="728"/>
      <c r="I80" s="275"/>
      <c r="J80" s="275"/>
      <c r="K80" s="331">
        <v>0</v>
      </c>
      <c r="L80" s="323"/>
      <c r="M80" s="327" t="e">
        <f>IF(IF(IF(#REF!&gt;0,0,+#REF!)&lt;-N80,-N80-M64-M65-M66,IF(#REF!&gt;0,0,+#REF!))&lt;-M59*0.3,-M59*0.3-M64-M65-M66,IF(IF(#REF!&gt;0,0,+#REF!)&lt;-N80,-N80-M64-M65-M66,IF(#REF!&gt;0,0,+#REF!)))</f>
        <v>#REF!</v>
      </c>
      <c r="N80" s="322"/>
      <c r="O80" s="687" t="e">
        <f>+M64+M80</f>
        <v>#REF!</v>
      </c>
      <c r="P80" s="154" t="e">
        <f>IF(O59&lt;IF((+M59+M64+M61+M75+M76+M77-M82)&gt;0,0,-(+M59+M64+M61+M75+M76+M77-M82)),IF(-(+M59+M64+M61+M75+M76+M77-M82)&gt;0,0,-(+M59+M64+M61+M75+M76+M77-M82)),-O59-M64)</f>
        <v>#REF!</v>
      </c>
      <c r="R80" s="475"/>
      <c r="S80" s="475"/>
      <c r="T80" s="687"/>
      <c r="U80" s="749">
        <f>ROUND(IF((G70*0.2+G75+G76+G77)&gt;Datos!H28,Datos!H28,(G70*0.2+G75+G76+G77)),-3)</f>
        <v>0</v>
      </c>
      <c r="V80" s="741"/>
      <c r="W80" s="1010"/>
    </row>
    <row r="81" spans="2:23" ht="16.5" thickTop="1" thickBot="1" x14ac:dyDescent="0.3">
      <c r="B81" s="904">
        <f t="shared" si="1"/>
        <v>41</v>
      </c>
      <c r="C81" s="285" t="s">
        <v>288</v>
      </c>
      <c r="D81" s="489"/>
      <c r="E81" s="330"/>
      <c r="F81" s="559"/>
      <c r="G81" s="579">
        <v>0</v>
      </c>
      <c r="H81" s="728"/>
      <c r="I81" s="275"/>
      <c r="J81" s="275"/>
      <c r="K81" s="331"/>
      <c r="L81" s="323"/>
      <c r="M81" s="502"/>
      <c r="N81" s="687"/>
      <c r="O81" s="217"/>
      <c r="R81" s="687"/>
      <c r="S81" s="687"/>
      <c r="T81" s="687"/>
      <c r="U81" s="768"/>
      <c r="V81" s="1001"/>
      <c r="W81" s="1010"/>
    </row>
    <row r="82" spans="2:23" ht="15.75" thickBot="1" x14ac:dyDescent="0.3">
      <c r="B82" s="901">
        <f t="shared" si="1"/>
        <v>42</v>
      </c>
      <c r="C82" s="760" t="s">
        <v>357</v>
      </c>
      <c r="D82" s="756"/>
      <c r="E82" s="757">
        <f>SUM(E59:E77)</f>
        <v>0</v>
      </c>
      <c r="F82" s="758"/>
      <c r="G82" s="759">
        <f>SUM(G70:G81)</f>
        <v>0</v>
      </c>
      <c r="H82" s="489"/>
      <c r="I82" s="547"/>
      <c r="J82" s="524"/>
      <c r="K82" s="216">
        <f>IF(SUM(K59:K77)&lt;0,0,SUM(K59:K77))</f>
        <v>0</v>
      </c>
      <c r="L82" s="266"/>
      <c r="M82" s="281" t="e">
        <f>IF(+M88-M79=0,SUM(M59:M77),+M88-M79)</f>
        <v>#REF!</v>
      </c>
      <c r="N82" s="475" t="e">
        <f>SUM(M59:M77)</f>
        <v>#REF!</v>
      </c>
      <c r="O82" s="687" t="e">
        <f>ROUND(+M82-N82,0)</f>
        <v>#REF!</v>
      </c>
      <c r="U82" s="742"/>
      <c r="V82" s="1001"/>
    </row>
    <row r="83" spans="2:23" ht="15.75" thickBot="1" x14ac:dyDescent="0.3">
      <c r="B83" s="907">
        <f t="shared" si="1"/>
        <v>43</v>
      </c>
      <c r="C83" s="494" t="s">
        <v>348</v>
      </c>
      <c r="D83" s="730"/>
      <c r="E83" s="214">
        <v>0</v>
      </c>
      <c r="F83" s="218">
        <v>240</v>
      </c>
      <c r="G83" s="280">
        <f>ROUND(-IF(G82*25%&gt;G16*F83,G16*F83,G82*25%),-3)</f>
        <v>0</v>
      </c>
      <c r="H83" s="489"/>
      <c r="I83" s="547"/>
      <c r="J83" s="524"/>
      <c r="K83" s="524"/>
      <c r="L83" s="215"/>
      <c r="M83" s="745"/>
      <c r="N83" s="687"/>
      <c r="O83" s="687"/>
      <c r="U83" s="768"/>
      <c r="V83" s="1002"/>
    </row>
    <row r="84" spans="2:23" ht="15.75" thickBot="1" x14ac:dyDescent="0.3">
      <c r="B84" s="901">
        <f t="shared" si="1"/>
        <v>44</v>
      </c>
      <c r="C84" s="760" t="s">
        <v>358</v>
      </c>
      <c r="D84" s="756"/>
      <c r="E84" s="757">
        <f>SUM(E61:E83)</f>
        <v>0</v>
      </c>
      <c r="F84" s="758"/>
      <c r="G84" s="759">
        <f>SUM(G82:G83)</f>
        <v>0</v>
      </c>
      <c r="H84" s="489"/>
      <c r="I84" s="547"/>
      <c r="J84" s="524"/>
      <c r="K84" s="524"/>
      <c r="L84" s="215"/>
      <c r="M84" s="745"/>
      <c r="N84" s="687"/>
      <c r="O84" s="687"/>
      <c r="U84" s="742"/>
      <c r="V84" s="1001"/>
    </row>
    <row r="85" spans="2:23" x14ac:dyDescent="0.25">
      <c r="B85" s="907">
        <f t="shared" si="1"/>
        <v>45</v>
      </c>
      <c r="C85" s="494" t="s">
        <v>290</v>
      </c>
      <c r="D85" s="489"/>
      <c r="E85" s="214"/>
      <c r="F85" s="731">
        <f>ROUND(-(G80+G81+G75+G76+G77+G83),0)</f>
        <v>0</v>
      </c>
      <c r="G85" s="280"/>
      <c r="H85" s="489"/>
      <c r="I85" s="524"/>
      <c r="J85" s="524"/>
      <c r="K85" s="524"/>
      <c r="L85" s="215"/>
      <c r="M85" s="280"/>
      <c r="N85" s="687"/>
      <c r="Q85" s="729"/>
      <c r="U85" s="742"/>
      <c r="V85" s="741"/>
    </row>
    <row r="86" spans="2:23" x14ac:dyDescent="0.25">
      <c r="B86" s="907">
        <f t="shared" si="1"/>
        <v>46</v>
      </c>
      <c r="C86" s="494" t="s">
        <v>359</v>
      </c>
      <c r="D86" s="489"/>
      <c r="E86" s="214"/>
      <c r="F86" s="731">
        <f>ROUND(G70*0.4,0)</f>
        <v>0</v>
      </c>
      <c r="G86" s="280"/>
      <c r="H86" s="489"/>
      <c r="I86" s="524"/>
      <c r="J86" s="524"/>
      <c r="K86" s="524"/>
      <c r="L86" s="215"/>
      <c r="M86" s="280"/>
      <c r="N86" s="687"/>
      <c r="Q86" s="729"/>
      <c r="U86" s="742"/>
    </row>
    <row r="87" spans="2:23" ht="15.75" thickBot="1" x14ac:dyDescent="0.3">
      <c r="B87" s="907">
        <f t="shared" si="1"/>
        <v>47</v>
      </c>
      <c r="C87" s="494" t="s">
        <v>367</v>
      </c>
      <c r="D87" s="489"/>
      <c r="E87" s="214"/>
      <c r="F87" s="218"/>
      <c r="G87" s="280">
        <f>IF(F85&gt;F86,+F85-F86,0)</f>
        <v>0</v>
      </c>
      <c r="H87" s="489"/>
      <c r="I87" s="524"/>
      <c r="J87" s="524"/>
      <c r="K87" s="524"/>
      <c r="L87" s="215"/>
      <c r="M87" s="280"/>
      <c r="N87" s="687"/>
      <c r="Q87" s="729"/>
      <c r="U87" s="742"/>
    </row>
    <row r="88" spans="2:23" ht="15.75" thickBot="1" x14ac:dyDescent="0.3">
      <c r="B88" s="901">
        <f t="shared" si="1"/>
        <v>48</v>
      </c>
      <c r="C88" s="760" t="s">
        <v>360</v>
      </c>
      <c r="D88" s="761"/>
      <c r="E88" s="757">
        <f>+E82+E83</f>
        <v>0</v>
      </c>
      <c r="F88" s="758"/>
      <c r="G88" s="759">
        <f>+G84+G87</f>
        <v>0</v>
      </c>
      <c r="H88" s="489"/>
      <c r="I88" s="545"/>
      <c r="J88" s="275"/>
      <c r="K88" s="331">
        <f>+K82+K79</f>
        <v>0</v>
      </c>
      <c r="L88" s="323"/>
      <c r="M88" s="502">
        <f>+M89*G16</f>
        <v>0</v>
      </c>
      <c r="N88" s="501"/>
      <c r="O88" s="687" t="s">
        <v>144</v>
      </c>
      <c r="P88" s="154" t="s">
        <v>145</v>
      </c>
      <c r="R88" s="501"/>
      <c r="S88" s="501"/>
      <c r="T88" s="687"/>
      <c r="U88" s="742"/>
    </row>
    <row r="89" spans="2:23" x14ac:dyDescent="0.25">
      <c r="B89" s="904">
        <f t="shared" si="1"/>
        <v>49</v>
      </c>
      <c r="C89" s="285" t="s">
        <v>361</v>
      </c>
      <c r="D89" s="489"/>
      <c r="E89" s="220">
        <f>+E88/$G$16</f>
        <v>0</v>
      </c>
      <c r="F89" s="209"/>
      <c r="G89" s="282">
        <f>IF(G88&gt;0,G88/$G$16,0)</f>
        <v>0</v>
      </c>
      <c r="H89" s="489"/>
      <c r="I89" s="548"/>
      <c r="J89" s="527"/>
      <c r="K89" s="222">
        <f>IF(E10="PARA TRABAJADORES INDEPENDIENTES SIN CATEGORÍA DE EMPLEADOS",0,+K88/$G$16)</f>
        <v>0</v>
      </c>
      <c r="L89" s="221"/>
      <c r="M89" s="282">
        <f>IF(C10="PARA TRABAJADORES INDEPENDIENTES sin CATEGORÍA DE EMPLEADOS",0,VLOOKUP(N89,'RF Ordinaria'!G23:H26,2,FALSE))</f>
        <v>0</v>
      </c>
      <c r="N89" s="223" t="s">
        <v>112</v>
      </c>
      <c r="O89" s="341">
        <f>+M88</f>
        <v>0</v>
      </c>
      <c r="P89" s="341">
        <f>+M88</f>
        <v>0</v>
      </c>
      <c r="S89" s="689"/>
      <c r="T89" s="689"/>
    </row>
    <row r="90" spans="2:23" x14ac:dyDescent="0.25">
      <c r="B90" s="902">
        <f t="shared" si="1"/>
        <v>50</v>
      </c>
      <c r="C90" s="557" t="s">
        <v>217</v>
      </c>
      <c r="D90" s="534"/>
      <c r="E90" s="531"/>
      <c r="F90" s="530"/>
      <c r="G90" s="532">
        <f>IF(G88&gt;0,'RF Ordinaria'!F7,0)</f>
        <v>0</v>
      </c>
      <c r="H90" s="489"/>
      <c r="I90" s="549"/>
      <c r="J90" s="527"/>
      <c r="K90" s="222"/>
      <c r="L90" s="221"/>
      <c r="M90" s="282"/>
      <c r="N90" s="223"/>
      <c r="O90" s="341"/>
      <c r="P90" s="341"/>
    </row>
    <row r="91" spans="2:23" ht="15.75" thickBot="1" x14ac:dyDescent="0.3">
      <c r="B91" s="903">
        <f t="shared" si="1"/>
        <v>51</v>
      </c>
      <c r="C91" s="562" t="s">
        <v>222</v>
      </c>
      <c r="D91" s="563"/>
      <c r="E91" s="564">
        <f>+F91*G16</f>
        <v>0</v>
      </c>
      <c r="F91" s="565"/>
      <c r="G91" s="567">
        <f>IF(G88&gt;0,G90/G89,0)</f>
        <v>0</v>
      </c>
      <c r="H91" s="512"/>
      <c r="I91" s="564"/>
      <c r="J91" s="711">
        <f>IF(C10="PARA TRABAJADORES INDEPENDIENTES SIN CATEGORÍA DE EMPLEADOS",0,+'RF Ordinaria'!F36)</f>
        <v>0</v>
      </c>
      <c r="K91" s="712">
        <f>IF(C10="PARA TRABAJADORES INDEPENDIENTES SIN CATEGORÍA DE EMPLEADOS",K88*#REF!,+J91*G16)</f>
        <v>0</v>
      </c>
      <c r="L91" s="713">
        <f>+F91</f>
        <v>0</v>
      </c>
      <c r="M91" s="714">
        <f>+E91</f>
        <v>0</v>
      </c>
      <c r="N91" s="277"/>
      <c r="O91" s="341">
        <f>+M79</f>
        <v>0</v>
      </c>
      <c r="P91" s="341">
        <f>+M79</f>
        <v>0</v>
      </c>
    </row>
    <row r="92" spans="2:23" x14ac:dyDescent="0.25">
      <c r="N92" s="132">
        <v>6.9599999999999995E-2</v>
      </c>
      <c r="P92" s="154" t="s">
        <v>289</v>
      </c>
    </row>
    <row r="93" spans="2:23" x14ac:dyDescent="0.25">
      <c r="N93" s="268" t="s">
        <v>125</v>
      </c>
    </row>
    <row r="94" spans="2:23" ht="18" x14ac:dyDescent="0.25">
      <c r="N94" s="270">
        <v>3.5000000000000003E-2</v>
      </c>
      <c r="O94" s="226"/>
    </row>
    <row r="95" spans="2:23" x14ac:dyDescent="0.25">
      <c r="N95" s="270">
        <v>0.04</v>
      </c>
    </row>
    <row r="96" spans="2:23" x14ac:dyDescent="0.25">
      <c r="N96" s="270">
        <v>0.06</v>
      </c>
    </row>
    <row r="97" spans="14:14" x14ac:dyDescent="0.25">
      <c r="N97" s="270">
        <v>0.1</v>
      </c>
    </row>
    <row r="98" spans="14:14" x14ac:dyDescent="0.25">
      <c r="N98" s="270">
        <v>0.11</v>
      </c>
    </row>
    <row r="99" spans="14:14" x14ac:dyDescent="0.25">
      <c r="N99" s="270"/>
    </row>
    <row r="101" spans="14:14" hidden="1" x14ac:dyDescent="0.25"/>
    <row r="102" spans="14:14" hidden="1" x14ac:dyDescent="0.25"/>
  </sheetData>
  <sheetProtection password="941B" sheet="1" objects="1" scenarios="1"/>
  <mergeCells count="6">
    <mergeCell ref="C66:D66"/>
    <mergeCell ref="L57:M57"/>
    <mergeCell ref="J57:K57"/>
    <mergeCell ref="B21:F21"/>
    <mergeCell ref="B24:F24"/>
    <mergeCell ref="C63:D63"/>
  </mergeCells>
  <conditionalFormatting sqref="Q85:Q87 Q79">
    <cfRule type="cellIs" dxfId="69" priority="19" stopIfTrue="1" operator="equal">
      <formula>"ERROR"</formula>
    </cfRule>
    <cfRule type="cellIs" dxfId="68" priority="20" stopIfTrue="1" operator="equal">
      <formula>"OK"</formula>
    </cfRule>
  </conditionalFormatting>
  <conditionalFormatting sqref="C55:M55">
    <cfRule type="cellIs" dxfId="67" priority="16" stopIfTrue="1" operator="equal">
      <formula>"ATENCIÓN: EL CONTRIBUYENTE TIENE LA CATEGORÍA DE EMPLEADO Y USTED ELIGIÓ A UN INDEPENDIENTE SIN CATEGORÍA DE EMPLEADO"</formula>
    </cfRule>
  </conditionalFormatting>
  <conditionalFormatting sqref="C56:M56">
    <cfRule type="cellIs" dxfId="66" priority="14" stopIfTrue="1" operator="equal">
      <formula>"ATENCIÓN: EL CONTRIBUYENTE ES INDEPENDIENTE CON CATEGORÍA DE EMPLEADO Y USTED ELIGIÓ A UN ASALARIADO CON CATEGORÍA DE EMPLEADO"</formula>
    </cfRule>
    <cfRule type="cellIs" dxfId="65" priority="15" stopIfTrue="1" operator="equal">
      <formula>"ATENCIÓN: ELIJA LA OPCIÓN ADECUADA SEGÚN EL MONTO DE LOS INGRESOS"</formula>
    </cfRule>
  </conditionalFormatting>
  <conditionalFormatting sqref="D80">
    <cfRule type="cellIs" dxfId="64" priority="10" operator="equal">
      <formula>"NO"</formula>
    </cfRule>
    <cfRule type="cellIs" dxfId="63" priority="11" operator="equal">
      <formula>"O.K."</formula>
    </cfRule>
  </conditionalFormatting>
  <conditionalFormatting sqref="B55">
    <cfRule type="cellIs" dxfId="62" priority="3" stopIfTrue="1" operator="equal">
      <formula>"ATENCIÓN: EL CONTRIBUYENTE TIENE LA CATEGORÍA DE EMPLEADO Y USTED ELIGIÓ A UN INDEPENDIENTE SIN CATEGORÍA DE EMPLEADO"</formula>
    </cfRule>
  </conditionalFormatting>
  <conditionalFormatting sqref="B56">
    <cfRule type="cellIs" dxfId="61" priority="1" stopIfTrue="1" operator="equal">
      <formula>"ATENCIÓN: EL CONTRIBUYENTE ES INDEPENDIENTE CON CATEGORÍA DE EMPLEADO Y USTED ELIGIÓ A UN ASALARIADO CON CATEGORÍA DE EMPLEADO"</formula>
    </cfRule>
    <cfRule type="cellIs" dxfId="60" priority="2" stopIfTrue="1" operator="equal">
      <formula>"ATENCIÓN: ELIJA LA OPCIÓN ADECUADA SEGÚN EL MONTO DE LOS INGRESOS"</formula>
    </cfRule>
  </conditionalFormatting>
  <dataValidations disablePrompts="1" count="8">
    <dataValidation type="list" allowBlank="1" showInputMessage="1" showErrorMessage="1" sqref="E14">
      <formula1>$N$94:$N$99</formula1>
    </dataValidation>
    <dataValidation type="list" allowBlank="1" showInputMessage="1" showErrorMessage="1" sqref="F67">
      <formula1>ARL</formula1>
    </dataValidation>
    <dataValidation type="list" allowBlank="1" showInputMessage="1" showErrorMessage="1" sqref="F77">
      <formula1>$N$13:$N$14</formula1>
    </dataValidation>
    <dataValidation type="list" allowBlank="1" showInputMessage="1" showErrorMessage="1" sqref="D49">
      <formula1>$O$11:$O$14</formula1>
    </dataValidation>
    <dataValidation type="decimal" allowBlank="1" showInputMessage="1" showErrorMessage="1" errorTitle="Por favor verifique!" error="Los valores de ésta casilla deben ser negativos" sqref="G66">
      <formula1>-9.99999999999999E+40</formula1>
      <formula2>0</formula2>
    </dataValidation>
    <dataValidation type="decimal" allowBlank="1" showInputMessage="1" showErrorMessage="1" errorTitle="Por favor verifique!" error="El valor de ésta casilla debe ser negativo" sqref="G68">
      <formula1>-9.99999999999999E+35</formula1>
      <formula2>0</formula2>
    </dataValidation>
    <dataValidation type="decimal" allowBlank="1" showInputMessage="1" showErrorMessage="1" errorTitle="Por favor verifique!" error="El valor consignado en ésta casilla debe ser negativo" sqref="G73">
      <formula1>-9.99999999999999E+31</formula1>
      <formula2>0</formula2>
    </dataValidation>
    <dataValidation type="decimal" allowBlank="1" showInputMessage="1" showErrorMessage="1" errorTitle="Por favor verifique!" error="El valor de ésta casilla debe ser negativo" sqref="G63">
      <formula1>-9.99999999999999E+27</formula1>
      <formula2>0</formula2>
    </dataValidation>
  </dataValidations>
  <printOptions horizontalCentered="1" verticalCentered="1"/>
  <pageMargins left="0.70866141732283472" right="0.70866141732283472" top="0.35433070866141736" bottom="0.35433070866141736" header="0.31496062992125984" footer="0.31496062992125984"/>
  <pageSetup scale="66" orientation="portrait" horizontalDpi="360" verticalDpi="360" r:id="rId1"/>
  <rowBreaks count="1" manualBreakCount="1">
    <brk id="99" min="2" max="8" man="1"/>
  </rowBreak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I77"/>
  <sheetViews>
    <sheetView topLeftCell="A78" workbookViewId="0">
      <selection sqref="A1:F1"/>
    </sheetView>
  </sheetViews>
  <sheetFormatPr baseColWidth="10" defaultRowHeight="15" x14ac:dyDescent="0.25"/>
  <cols>
    <col min="1" max="1" width="52.42578125" style="10" customWidth="1"/>
    <col min="2" max="2" width="9" style="10" bestFit="1" customWidth="1"/>
    <col min="3" max="3" width="1.42578125" style="10" customWidth="1"/>
    <col min="4" max="4" width="12.42578125" style="10" customWidth="1"/>
    <col min="5" max="5" width="1.42578125" style="10" customWidth="1"/>
    <col min="6" max="6" width="8.85546875" style="10" bestFit="1" customWidth="1"/>
    <col min="7" max="8" width="11.42578125" style="10"/>
    <col min="9" max="9" width="11.42578125" style="126"/>
    <col min="10" max="16384" width="11.42578125" style="10"/>
  </cols>
  <sheetData>
    <row r="1" spans="1:9" ht="30.75" hidden="1" customHeight="1" x14ac:dyDescent="0.25">
      <c r="A1" s="1085" t="s">
        <v>44</v>
      </c>
      <c r="B1" s="1085"/>
      <c r="C1" s="1085"/>
      <c r="D1" s="1085"/>
      <c r="E1" s="1085"/>
      <c r="F1" s="1085"/>
      <c r="I1" s="123"/>
    </row>
    <row r="2" spans="1:9" hidden="1" x14ac:dyDescent="0.25">
      <c r="A2" s="1086" t="s">
        <v>35</v>
      </c>
      <c r="B2" s="1086"/>
      <c r="C2" s="1086"/>
      <c r="D2" s="1086"/>
      <c r="E2" s="1086"/>
      <c r="F2" s="1086"/>
    </row>
    <row r="3" spans="1:9" hidden="1" x14ac:dyDescent="0.25"/>
    <row r="4" spans="1:9" hidden="1" x14ac:dyDescent="0.25">
      <c r="A4" s="1087" t="s">
        <v>45</v>
      </c>
      <c r="B4" s="1087"/>
      <c r="C4" s="1087"/>
      <c r="D4" s="1087"/>
      <c r="E4" s="1087"/>
      <c r="F4" s="1087"/>
    </row>
    <row r="5" spans="1:9" hidden="1" x14ac:dyDescent="0.25">
      <c r="A5" s="1087" t="s">
        <v>1</v>
      </c>
      <c r="B5" s="1087"/>
      <c r="C5" s="1087"/>
      <c r="D5" s="1087"/>
      <c r="E5" s="1087"/>
      <c r="F5" s="1087"/>
    </row>
    <row r="6" spans="1:9" ht="9" hidden="1" customHeight="1" x14ac:dyDescent="0.25"/>
    <row r="7" spans="1:9" ht="47.25" hidden="1" customHeight="1" x14ac:dyDescent="0.25">
      <c r="A7" s="1060" t="s">
        <v>21</v>
      </c>
      <c r="B7" s="1060" t="s">
        <v>3</v>
      </c>
      <c r="C7" s="1067" t="s">
        <v>20</v>
      </c>
      <c r="D7" s="1088"/>
      <c r="E7" s="1088"/>
      <c r="F7" s="1089"/>
    </row>
    <row r="8" spans="1:9" hidden="1" x14ac:dyDescent="0.25">
      <c r="A8" s="1061"/>
      <c r="B8" s="1063"/>
      <c r="C8" s="18"/>
      <c r="D8" s="19" t="s">
        <v>27</v>
      </c>
      <c r="E8" s="20"/>
      <c r="F8" s="21" t="s">
        <v>22</v>
      </c>
    </row>
    <row r="9" spans="1:9" ht="43.5" hidden="1" customHeight="1" x14ac:dyDescent="0.25">
      <c r="A9" s="1062"/>
      <c r="B9" s="1064"/>
      <c r="C9" s="1065" t="s">
        <v>28</v>
      </c>
      <c r="D9" s="1066"/>
      <c r="E9" s="1070" t="s">
        <v>34</v>
      </c>
      <c r="F9" s="1071"/>
    </row>
    <row r="10" spans="1:9" hidden="1" x14ac:dyDescent="0.25">
      <c r="A10" s="45"/>
      <c r="B10" s="45"/>
      <c r="C10" s="58"/>
      <c r="D10" s="69"/>
      <c r="E10" s="58"/>
      <c r="F10" s="69"/>
    </row>
    <row r="11" spans="1:9" hidden="1" x14ac:dyDescent="0.25">
      <c r="A11" s="45" t="s">
        <v>4</v>
      </c>
      <c r="B11" s="57">
        <v>20000</v>
      </c>
      <c r="C11" s="60"/>
      <c r="D11" s="59">
        <v>20000</v>
      </c>
      <c r="E11" s="60"/>
      <c r="F11" s="59">
        <v>20000</v>
      </c>
    </row>
    <row r="12" spans="1:9" hidden="1" x14ac:dyDescent="0.25">
      <c r="A12" s="45" t="s">
        <v>46</v>
      </c>
      <c r="B12" s="61">
        <f>(-25*589.5)*6%</f>
        <v>-884.25</v>
      </c>
      <c r="C12" s="63"/>
      <c r="D12" s="62">
        <f>-25*589.5*6%</f>
        <v>-884.25</v>
      </c>
      <c r="E12" s="63"/>
      <c r="F12" s="62">
        <f>-25*589.5*6%</f>
        <v>-884.25</v>
      </c>
    </row>
    <row r="13" spans="1:9" hidden="1" x14ac:dyDescent="0.25">
      <c r="A13" s="45" t="s">
        <v>47</v>
      </c>
      <c r="B13" s="61">
        <f>-25*589.5*4%</f>
        <v>-589.5</v>
      </c>
      <c r="C13" s="63"/>
      <c r="D13" s="62">
        <f>-25*589.5*4%</f>
        <v>-589.5</v>
      </c>
      <c r="E13" s="63"/>
      <c r="F13" s="62">
        <f>-25*589.5*4%</f>
        <v>-589.5</v>
      </c>
    </row>
    <row r="14" spans="1:9" hidden="1" x14ac:dyDescent="0.25">
      <c r="A14" s="45" t="s">
        <v>7</v>
      </c>
      <c r="B14" s="61">
        <v>0</v>
      </c>
      <c r="C14" s="63"/>
      <c r="D14" s="62">
        <f>-(D11*18%)-D12</f>
        <v>-2715.75</v>
      </c>
      <c r="E14" s="63"/>
      <c r="F14" s="62">
        <f>-(F11*F28)-F12</f>
        <v>-5115.75</v>
      </c>
    </row>
    <row r="15" spans="1:9" hidden="1" x14ac:dyDescent="0.25">
      <c r="A15" s="45" t="s">
        <v>8</v>
      </c>
      <c r="B15" s="61">
        <v>0</v>
      </c>
      <c r="C15" s="63"/>
      <c r="D15" s="62">
        <f>-16*26.841</f>
        <v>-429.45600000000002</v>
      </c>
      <c r="E15" s="63"/>
      <c r="F15" s="62">
        <f>-16*26.841</f>
        <v>-429.45600000000002</v>
      </c>
    </row>
    <row r="16" spans="1:9" hidden="1" x14ac:dyDescent="0.25">
      <c r="A16" s="45" t="s">
        <v>23</v>
      </c>
      <c r="B16" s="61">
        <v>0</v>
      </c>
      <c r="C16" s="63"/>
      <c r="D16" s="62">
        <f>-1592-402</f>
        <v>-1994</v>
      </c>
      <c r="E16" s="63"/>
      <c r="F16" s="62">
        <f>-2684</f>
        <v>-2684</v>
      </c>
    </row>
    <row r="17" spans="1:9" hidden="1" x14ac:dyDescent="0.25">
      <c r="A17" s="45" t="s">
        <v>14</v>
      </c>
      <c r="B17" s="64">
        <v>0</v>
      </c>
      <c r="C17" s="63"/>
      <c r="D17" s="65">
        <f>-32*26.841</f>
        <v>-858.91200000000003</v>
      </c>
      <c r="E17" s="63"/>
      <c r="F17" s="65">
        <f>-32*26.841</f>
        <v>-858.91200000000003</v>
      </c>
    </row>
    <row r="18" spans="1:9" hidden="1" x14ac:dyDescent="0.25">
      <c r="A18" s="45" t="s">
        <v>9</v>
      </c>
      <c r="B18" s="61">
        <f>SUM(B11:B17)</f>
        <v>18526.25</v>
      </c>
      <c r="C18" s="63"/>
      <c r="D18" s="62">
        <f>+D20-D19</f>
        <v>12528.356285714284</v>
      </c>
      <c r="E18" s="63"/>
      <c r="F18" s="62">
        <f>SUM(F11:F17)</f>
        <v>9438.1319999999996</v>
      </c>
    </row>
    <row r="19" spans="1:9" hidden="1" x14ac:dyDescent="0.25">
      <c r="A19" s="45" t="s">
        <v>18</v>
      </c>
      <c r="B19" s="64">
        <v>0</v>
      </c>
      <c r="C19" s="63"/>
      <c r="D19" s="65">
        <f>-D20*25%/75%</f>
        <v>-3132.0890714285711</v>
      </c>
      <c r="E19" s="63"/>
      <c r="F19" s="65">
        <f>-F18*25%</f>
        <v>-2359.5329999999999</v>
      </c>
    </row>
    <row r="20" spans="1:9" hidden="1" x14ac:dyDescent="0.25">
      <c r="A20" s="45" t="s">
        <v>10</v>
      </c>
      <c r="B20" s="61">
        <f>+B18+B19</f>
        <v>18526.25</v>
      </c>
      <c r="C20" s="63"/>
      <c r="D20" s="62">
        <f>+D21*26.841</f>
        <v>9396.2672142857136</v>
      </c>
      <c r="E20" s="63"/>
      <c r="F20" s="62">
        <f>+F18+F19</f>
        <v>7078.5990000000002</v>
      </c>
    </row>
    <row r="21" spans="1:9" hidden="1" x14ac:dyDescent="0.25">
      <c r="A21" s="45" t="s">
        <v>11</v>
      </c>
      <c r="B21" s="66">
        <f>+B20/26.841</f>
        <v>690.22204835885395</v>
      </c>
      <c r="C21" s="70"/>
      <c r="D21" s="67">
        <f>+((((66.02)-10)/0.28)+150)</f>
        <v>350.07142857142856</v>
      </c>
      <c r="E21" s="70"/>
      <c r="F21" s="67">
        <f>+F20/26.841</f>
        <v>263.72337096233372</v>
      </c>
    </row>
    <row r="22" spans="1:9" hidden="1" x14ac:dyDescent="0.25">
      <c r="A22" s="45" t="s">
        <v>12</v>
      </c>
      <c r="B22" s="66">
        <v>66.02</v>
      </c>
      <c r="C22" s="70"/>
      <c r="D22" s="68">
        <f>+B22</f>
        <v>66.02</v>
      </c>
      <c r="E22" s="70"/>
      <c r="F22" s="67">
        <f>+((F21-150)*28%)+10</f>
        <v>41.842543869453444</v>
      </c>
    </row>
    <row r="23" spans="1:9" hidden="1" x14ac:dyDescent="0.25">
      <c r="A23" s="79" t="s">
        <v>24</v>
      </c>
      <c r="B23" s="80">
        <f>(B22*26.841)</f>
        <v>1772.0428199999999</v>
      </c>
      <c r="C23" s="81"/>
      <c r="D23" s="82">
        <f>+B23</f>
        <v>1772.0428199999999</v>
      </c>
      <c r="E23" s="81"/>
      <c r="F23" s="82">
        <f>(F22*26.841)</f>
        <v>1123.09572</v>
      </c>
    </row>
    <row r="24" spans="1:9" hidden="1" x14ac:dyDescent="0.25">
      <c r="A24" s="45" t="s">
        <v>13</v>
      </c>
      <c r="B24" s="97">
        <f>+B23/B11</f>
        <v>8.8602140999999995E-2</v>
      </c>
      <c r="C24" s="98"/>
      <c r="D24" s="251">
        <v>9.3200000000000005E-2</v>
      </c>
      <c r="E24" s="98"/>
      <c r="F24" s="99">
        <f>+F23/F11</f>
        <v>5.6154785999999998E-2</v>
      </c>
    </row>
    <row r="25" spans="1:9" hidden="1" x14ac:dyDescent="0.25">
      <c r="A25" s="45"/>
      <c r="B25" s="97"/>
      <c r="C25" s="98"/>
      <c r="D25" s="99"/>
      <c r="E25" s="98"/>
      <c r="F25" s="99"/>
    </row>
    <row r="26" spans="1:9" hidden="1" x14ac:dyDescent="0.25">
      <c r="A26" s="40" t="s">
        <v>48</v>
      </c>
      <c r="B26" s="100"/>
      <c r="C26" s="55"/>
      <c r="D26" s="56"/>
      <c r="E26" s="55"/>
      <c r="F26" s="56"/>
    </row>
    <row r="27" spans="1:9" hidden="1" x14ac:dyDescent="0.25">
      <c r="A27" s="79" t="s">
        <v>30</v>
      </c>
      <c r="B27" s="93">
        <f>-(B12+B13+B14+B15+B16+B17+B19)/B11</f>
        <v>7.3687500000000003E-2</v>
      </c>
      <c r="C27" s="86"/>
      <c r="D27" s="94">
        <f>-(D12+D13+D14+D15+D16+D17+D19)/D11</f>
        <v>0.53019785357142857</v>
      </c>
      <c r="E27" s="86"/>
      <c r="F27" s="94">
        <f>-(F12+F13+F14+F15+F16+F17+F19)/F11</f>
        <v>0.64607004999999995</v>
      </c>
    </row>
    <row r="28" spans="1:9" hidden="1" x14ac:dyDescent="0.25">
      <c r="A28" s="45" t="s">
        <v>31</v>
      </c>
      <c r="B28" s="45" t="s">
        <v>17</v>
      </c>
      <c r="C28" s="58"/>
      <c r="D28" s="101">
        <v>0.18</v>
      </c>
      <c r="E28" s="58"/>
      <c r="F28" s="101">
        <v>0.3</v>
      </c>
    </row>
    <row r="29" spans="1:9" hidden="1" x14ac:dyDescent="0.25">
      <c r="A29" s="102" t="s">
        <v>49</v>
      </c>
      <c r="B29" s="45" t="s">
        <v>17</v>
      </c>
      <c r="C29" s="58"/>
      <c r="D29" s="101">
        <f>-D16/D11</f>
        <v>9.9699999999999997E-2</v>
      </c>
      <c r="E29" s="58"/>
      <c r="F29" s="101">
        <f>-F16/F11</f>
        <v>0.13420000000000001</v>
      </c>
    </row>
    <row r="30" spans="1:9" ht="18" hidden="1" x14ac:dyDescent="0.25">
      <c r="A30" s="74" t="s">
        <v>33</v>
      </c>
      <c r="B30" s="74"/>
      <c r="C30" s="103"/>
      <c r="D30" s="104" t="s">
        <v>15</v>
      </c>
      <c r="E30" s="105"/>
      <c r="F30" s="104" t="s">
        <v>15</v>
      </c>
      <c r="I30" s="125">
        <v>10</v>
      </c>
    </row>
    <row r="31" spans="1:9" hidden="1" x14ac:dyDescent="0.25">
      <c r="A31" s="83"/>
      <c r="B31" s="83"/>
      <c r="C31" s="83"/>
      <c r="D31" s="84"/>
      <c r="E31" s="84"/>
      <c r="F31" s="84"/>
    </row>
    <row r="32" spans="1:9" hidden="1" x14ac:dyDescent="0.25"/>
    <row r="33" spans="1:6" ht="31.5" hidden="1" customHeight="1" x14ac:dyDescent="0.25">
      <c r="A33" s="1058" t="s">
        <v>53</v>
      </c>
      <c r="B33" s="1058"/>
      <c r="C33" s="1058"/>
      <c r="D33" s="1058"/>
      <c r="E33" s="1058"/>
      <c r="F33" s="1058"/>
    </row>
    <row r="34" spans="1:6" ht="15.75" hidden="1" x14ac:dyDescent="0.25">
      <c r="A34" s="1059" t="s">
        <v>35</v>
      </c>
      <c r="B34" s="1059"/>
      <c r="C34" s="1059"/>
      <c r="D34" s="1059"/>
      <c r="E34" s="1059"/>
      <c r="F34" s="1059"/>
    </row>
    <row r="35" spans="1:6" ht="15.75" hidden="1" x14ac:dyDescent="0.25">
      <c r="A35" s="109"/>
      <c r="B35" s="109"/>
      <c r="C35" s="109"/>
      <c r="D35" s="109"/>
      <c r="E35" s="109"/>
      <c r="F35" s="109"/>
    </row>
    <row r="36" spans="1:6" ht="7.5" hidden="1" customHeight="1" x14ac:dyDescent="0.25">
      <c r="A36" s="85"/>
      <c r="B36" s="85"/>
      <c r="C36" s="85"/>
      <c r="D36" s="85"/>
      <c r="E36" s="85"/>
      <c r="F36" s="85"/>
    </row>
    <row r="37" spans="1:6" hidden="1" x14ac:dyDescent="0.25">
      <c r="A37" s="1060" t="s">
        <v>21</v>
      </c>
      <c r="B37" s="1079" t="s">
        <v>50</v>
      </c>
      <c r="C37" s="1080"/>
      <c r="D37" s="1080"/>
      <c r="E37" s="1080"/>
      <c r="F37" s="1081"/>
    </row>
    <row r="38" spans="1:6" ht="46.5" hidden="1" customHeight="1" x14ac:dyDescent="0.25">
      <c r="A38" s="1063"/>
      <c r="B38" s="1060" t="s">
        <v>3</v>
      </c>
      <c r="C38" s="1082" t="s">
        <v>20</v>
      </c>
      <c r="D38" s="1083"/>
      <c r="E38" s="1083"/>
      <c r="F38" s="1084"/>
    </row>
    <row r="39" spans="1:6" hidden="1" x14ac:dyDescent="0.25">
      <c r="A39" s="1063"/>
      <c r="B39" s="1061"/>
      <c r="C39" s="110"/>
      <c r="D39" s="19" t="s">
        <v>27</v>
      </c>
      <c r="E39" s="20"/>
      <c r="F39" s="21" t="s">
        <v>22</v>
      </c>
    </row>
    <row r="40" spans="1:6" ht="41.25" hidden="1" customHeight="1" x14ac:dyDescent="0.25">
      <c r="A40" s="1064"/>
      <c r="B40" s="1062"/>
      <c r="C40" s="1066" t="s">
        <v>28</v>
      </c>
      <c r="D40" s="1066"/>
      <c r="E40" s="1070" t="s">
        <v>34</v>
      </c>
      <c r="F40" s="1071"/>
    </row>
    <row r="41" spans="1:6" hidden="1" x14ac:dyDescent="0.25">
      <c r="A41" s="111"/>
      <c r="B41" s="106"/>
      <c r="C41" s="112"/>
      <c r="D41" s="113"/>
      <c r="E41" s="20"/>
      <c r="F41" s="21"/>
    </row>
    <row r="42" spans="1:6" hidden="1" x14ac:dyDescent="0.25">
      <c r="A42" s="58" t="s">
        <v>4</v>
      </c>
      <c r="B42" s="57">
        <f>+B11*12</f>
        <v>240000</v>
      </c>
      <c r="C42" s="60"/>
      <c r="D42" s="114">
        <f>+D11*12</f>
        <v>240000</v>
      </c>
      <c r="E42" s="58"/>
      <c r="F42" s="59">
        <f>+F11*12</f>
        <v>240000</v>
      </c>
    </row>
    <row r="43" spans="1:6" hidden="1" x14ac:dyDescent="0.25">
      <c r="A43" s="58" t="s">
        <v>46</v>
      </c>
      <c r="B43" s="61">
        <f>-10608</f>
        <v>-10608</v>
      </c>
      <c r="C43" s="63"/>
      <c r="D43" s="115">
        <f>-10608</f>
        <v>-10608</v>
      </c>
      <c r="E43" s="58"/>
      <c r="F43" s="62">
        <f>-10608</f>
        <v>-10608</v>
      </c>
    </row>
    <row r="44" spans="1:6" hidden="1" x14ac:dyDescent="0.25">
      <c r="A44" s="58" t="s">
        <v>47</v>
      </c>
      <c r="B44" s="61">
        <v>-7080</v>
      </c>
      <c r="C44" s="63"/>
      <c r="D44" s="115">
        <v>-7080</v>
      </c>
      <c r="E44" s="58"/>
      <c r="F44" s="62">
        <v>-7080</v>
      </c>
    </row>
    <row r="45" spans="1:6" hidden="1" x14ac:dyDescent="0.25">
      <c r="A45" s="58" t="s">
        <v>7</v>
      </c>
      <c r="B45" s="61">
        <v>0</v>
      </c>
      <c r="C45" s="63"/>
      <c r="D45" s="115">
        <f>-2716*12</f>
        <v>-32592</v>
      </c>
      <c r="E45" s="58"/>
      <c r="F45" s="62">
        <f>-5116*12</f>
        <v>-61392</v>
      </c>
    </row>
    <row r="46" spans="1:6" hidden="1" x14ac:dyDescent="0.25">
      <c r="A46" s="58" t="s">
        <v>8</v>
      </c>
      <c r="B46" s="61">
        <v>0</v>
      </c>
      <c r="C46" s="63"/>
      <c r="D46" s="115">
        <f>-429*12</f>
        <v>-5148</v>
      </c>
      <c r="E46" s="58"/>
      <c r="F46" s="62">
        <f>-429*12</f>
        <v>-5148</v>
      </c>
    </row>
    <row r="47" spans="1:6" hidden="1" x14ac:dyDescent="0.25">
      <c r="A47" s="58" t="s">
        <v>23</v>
      </c>
      <c r="B47" s="61">
        <v>0</v>
      </c>
      <c r="C47" s="63"/>
      <c r="D47" s="259">
        <f>-1592*12</f>
        <v>-19104</v>
      </c>
      <c r="E47" s="58"/>
      <c r="F47" s="62">
        <f>-2684*12</f>
        <v>-32208</v>
      </c>
    </row>
    <row r="48" spans="1:6" hidden="1" x14ac:dyDescent="0.25">
      <c r="A48" s="58" t="s">
        <v>14</v>
      </c>
      <c r="B48" s="64">
        <v>0</v>
      </c>
      <c r="C48" s="58"/>
      <c r="D48" s="116">
        <f>-859*12</f>
        <v>-10308</v>
      </c>
      <c r="E48" s="63"/>
      <c r="F48" s="65">
        <f>-859*12</f>
        <v>-10308</v>
      </c>
    </row>
    <row r="49" spans="1:9" hidden="1" x14ac:dyDescent="0.25">
      <c r="A49" s="58" t="s">
        <v>9</v>
      </c>
      <c r="B49" s="61">
        <f>SUM(B42:B48)</f>
        <v>222312</v>
      </c>
      <c r="C49" s="63"/>
      <c r="D49" s="259">
        <f>SUM(D42:D48)</f>
        <v>155160</v>
      </c>
      <c r="E49" s="58"/>
      <c r="F49" s="62">
        <f>SUM(F42:F48)</f>
        <v>113256</v>
      </c>
    </row>
    <row r="50" spans="1:9" hidden="1" x14ac:dyDescent="0.25">
      <c r="A50" s="58" t="s">
        <v>18</v>
      </c>
      <c r="B50" s="64">
        <v>0</v>
      </c>
      <c r="C50" s="58"/>
      <c r="D50" s="265">
        <f>-D49*25%</f>
        <v>-38790</v>
      </c>
      <c r="E50" s="63"/>
      <c r="F50" s="65">
        <f>-F49*25%</f>
        <v>-28314</v>
      </c>
    </row>
    <row r="51" spans="1:9" hidden="1" x14ac:dyDescent="0.25">
      <c r="A51" s="58" t="s">
        <v>10</v>
      </c>
      <c r="B51" s="61">
        <f>SUM(B49:B50)</f>
        <v>222312</v>
      </c>
      <c r="C51" s="58"/>
      <c r="D51" s="259">
        <f>SUM(D49:D50)</f>
        <v>116370</v>
      </c>
      <c r="E51" s="63"/>
      <c r="F51" s="62">
        <f>SUM(F49:F50)</f>
        <v>84942</v>
      </c>
    </row>
    <row r="52" spans="1:9" hidden="1" x14ac:dyDescent="0.25">
      <c r="A52" s="58" t="s">
        <v>11</v>
      </c>
      <c r="B52" s="66">
        <f>+B51/26.841</f>
        <v>8282.5528109980987</v>
      </c>
      <c r="C52" s="70"/>
      <c r="D52" s="258">
        <f>+D51/26.841</f>
        <v>4335.5314630602434</v>
      </c>
      <c r="E52" s="58"/>
      <c r="F52" s="67">
        <f>+F51/26.841</f>
        <v>3164.6361909019784</v>
      </c>
    </row>
    <row r="53" spans="1:9" hidden="1" x14ac:dyDescent="0.25">
      <c r="A53" s="58" t="s">
        <v>36</v>
      </c>
      <c r="B53" s="66">
        <v>792.22</v>
      </c>
      <c r="C53" s="70"/>
      <c r="D53" s="258">
        <f>+(((D52-4100)*33%)+788)</f>
        <v>865.72538280988033</v>
      </c>
      <c r="E53" s="58"/>
      <c r="F53" s="68">
        <f>+(((F52-1700)*28%)+116)</f>
        <v>526.09813345255395</v>
      </c>
    </row>
    <row r="54" spans="1:9" hidden="1" x14ac:dyDescent="0.25">
      <c r="A54" s="86" t="s">
        <v>37</v>
      </c>
      <c r="B54" s="80">
        <f>+B53*26.841</f>
        <v>21263.977020000002</v>
      </c>
      <c r="C54" s="87"/>
      <c r="D54" s="259">
        <f>+D53*26.841</f>
        <v>23236.934999999998</v>
      </c>
      <c r="E54" s="81"/>
      <c r="F54" s="82">
        <f>+F53*26.841</f>
        <v>14121.000000000002</v>
      </c>
    </row>
    <row r="55" spans="1:9" hidden="1" x14ac:dyDescent="0.25">
      <c r="A55" s="86" t="s">
        <v>38</v>
      </c>
      <c r="B55" s="80">
        <v>0</v>
      </c>
      <c r="C55" s="87"/>
      <c r="D55" s="88">
        <v>0</v>
      </c>
      <c r="E55" s="81"/>
      <c r="F55" s="82">
        <f>+B54-F54</f>
        <v>7142.9770200000003</v>
      </c>
    </row>
    <row r="56" spans="1:9" hidden="1" x14ac:dyDescent="0.25">
      <c r="A56" s="86" t="s">
        <v>24</v>
      </c>
      <c r="B56" s="80">
        <v>-21264</v>
      </c>
      <c r="C56" s="81"/>
      <c r="D56" s="88">
        <v>-21264</v>
      </c>
      <c r="E56" s="86"/>
      <c r="F56" s="82">
        <f>-1123*12</f>
        <v>-13476</v>
      </c>
    </row>
    <row r="57" spans="1:9" hidden="1" x14ac:dyDescent="0.25">
      <c r="A57" s="86" t="s">
        <v>51</v>
      </c>
      <c r="B57" s="89"/>
      <c r="C57" s="81"/>
      <c r="D57" s="90"/>
      <c r="E57" s="86"/>
      <c r="F57" s="91">
        <f>$B$56-F56</f>
        <v>-7788</v>
      </c>
    </row>
    <row r="58" spans="1:9" hidden="1" x14ac:dyDescent="0.25">
      <c r="A58" s="118" t="s">
        <v>40</v>
      </c>
      <c r="B58" s="72">
        <f>SUM(B54:B57)</f>
        <v>-2.2979999997915002E-2</v>
      </c>
      <c r="C58" s="119"/>
      <c r="D58" s="120">
        <f>SUM(D54:D57)</f>
        <v>1972.9349999999977</v>
      </c>
      <c r="E58" s="58"/>
      <c r="F58" s="73">
        <f>SUM(F54:F57)</f>
        <v>-2.2979999997915002E-2</v>
      </c>
    </row>
    <row r="59" spans="1:9" ht="5.25" hidden="1" customHeight="1" x14ac:dyDescent="0.25">
      <c r="A59" s="58"/>
      <c r="B59" s="61"/>
      <c r="C59" s="63"/>
      <c r="D59" s="115"/>
      <c r="E59" s="58"/>
      <c r="F59" s="69"/>
    </row>
    <row r="60" spans="1:9" hidden="1" x14ac:dyDescent="0.25">
      <c r="A60" s="103" t="s">
        <v>41</v>
      </c>
      <c r="B60" s="75">
        <f>+B54/B42</f>
        <v>8.8599904250000014E-2</v>
      </c>
      <c r="C60" s="121"/>
      <c r="D60" s="122">
        <f>+D54/D42</f>
        <v>9.6820562499999985E-2</v>
      </c>
      <c r="E60" s="103"/>
      <c r="F60" s="77">
        <f>+F54/F42</f>
        <v>5.8837500000000008E-2</v>
      </c>
    </row>
    <row r="61" spans="1:9" hidden="1" x14ac:dyDescent="0.25"/>
    <row r="62" spans="1:9" hidden="1" x14ac:dyDescent="0.25"/>
    <row r="63" spans="1:9" ht="18" hidden="1" x14ac:dyDescent="0.25">
      <c r="I63" s="125">
        <v>11</v>
      </c>
    </row>
    <row r="64" spans="1:9"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sheetData>
  <sheetProtection password="941B" sheet="1"/>
  <mergeCells count="17">
    <mergeCell ref="A33:F33"/>
    <mergeCell ref="A37:A40"/>
    <mergeCell ref="B37:F37"/>
    <mergeCell ref="B38:B40"/>
    <mergeCell ref="C38:F38"/>
    <mergeCell ref="C40:D40"/>
    <mergeCell ref="E40:F40"/>
    <mergeCell ref="A34:F34"/>
    <mergeCell ref="A1:F1"/>
    <mergeCell ref="A2:F2"/>
    <mergeCell ref="A4:F4"/>
    <mergeCell ref="A5:F5"/>
    <mergeCell ref="A7:A9"/>
    <mergeCell ref="B7:B9"/>
    <mergeCell ref="C7:F7"/>
    <mergeCell ref="C9:D9"/>
    <mergeCell ref="E9:F9"/>
  </mergeCells>
  <pageMargins left="1.1023622047244095" right="0.70866141732283472" top="0.74803149606299213" bottom="0.74803149606299213" header="0.31496062992125984" footer="0.31496062992125984"/>
  <pageSetup scale="95"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H76"/>
  <sheetViews>
    <sheetView topLeftCell="A77" workbookViewId="0">
      <selection sqref="A1:F1"/>
    </sheetView>
  </sheetViews>
  <sheetFormatPr baseColWidth="10" defaultRowHeight="15" x14ac:dyDescent="0.25"/>
  <cols>
    <col min="1" max="1" width="52.7109375" style="10" customWidth="1"/>
    <col min="2" max="2" width="13.5703125" style="10" bestFit="1" customWidth="1"/>
    <col min="3" max="3" width="1.7109375" style="10" customWidth="1"/>
    <col min="4" max="4" width="14" style="10" customWidth="1"/>
    <col min="5" max="5" width="1" style="10" customWidth="1"/>
    <col min="6" max="6" width="11" style="10" customWidth="1"/>
    <col min="7" max="7" width="11.42578125" style="10"/>
    <col min="8" max="8" width="11.42578125" style="126"/>
    <col min="9" max="16384" width="11.42578125" style="10"/>
  </cols>
  <sheetData>
    <row r="1" spans="1:8" ht="30.75" hidden="1" customHeight="1" x14ac:dyDescent="0.25">
      <c r="A1" s="1085" t="s">
        <v>44</v>
      </c>
      <c r="B1" s="1085"/>
      <c r="C1" s="1085"/>
      <c r="D1" s="1085"/>
      <c r="E1" s="1085"/>
      <c r="F1" s="1085"/>
      <c r="H1" s="123"/>
    </row>
    <row r="2" spans="1:8" hidden="1" x14ac:dyDescent="0.25">
      <c r="A2" s="1086" t="s">
        <v>35</v>
      </c>
      <c r="B2" s="1086"/>
      <c r="C2" s="1086"/>
      <c r="D2" s="1086"/>
      <c r="E2" s="1086"/>
      <c r="F2" s="1086"/>
    </row>
    <row r="3" spans="1:8" hidden="1" x14ac:dyDescent="0.25"/>
    <row r="4" spans="1:8" hidden="1" x14ac:dyDescent="0.25">
      <c r="A4" s="1087" t="s">
        <v>52</v>
      </c>
      <c r="B4" s="1087"/>
      <c r="C4" s="1087"/>
      <c r="D4" s="1087"/>
      <c r="E4" s="1087"/>
      <c r="F4" s="1087"/>
    </row>
    <row r="5" spans="1:8" hidden="1" x14ac:dyDescent="0.25">
      <c r="A5" s="1087" t="s">
        <v>1</v>
      </c>
      <c r="B5" s="1087"/>
      <c r="C5" s="1087"/>
      <c r="D5" s="1087"/>
      <c r="E5" s="1087"/>
      <c r="F5" s="1087"/>
    </row>
    <row r="6" spans="1:8" ht="8.25" hidden="1" customHeight="1" x14ac:dyDescent="0.25"/>
    <row r="7" spans="1:8" ht="53.25" hidden="1" customHeight="1" x14ac:dyDescent="0.25">
      <c r="A7" s="1060" t="s">
        <v>21</v>
      </c>
      <c r="B7" s="1060" t="s">
        <v>3</v>
      </c>
      <c r="C7" s="1067" t="s">
        <v>20</v>
      </c>
      <c r="D7" s="1088"/>
      <c r="E7" s="1088"/>
      <c r="F7" s="1089"/>
    </row>
    <row r="8" spans="1:8" hidden="1" x14ac:dyDescent="0.25">
      <c r="A8" s="1061"/>
      <c r="B8" s="1063"/>
      <c r="C8" s="18"/>
      <c r="D8" s="19" t="s">
        <v>27</v>
      </c>
      <c r="E8" s="20"/>
      <c r="F8" s="21" t="s">
        <v>22</v>
      </c>
    </row>
    <row r="9" spans="1:8" ht="45.75" hidden="1" customHeight="1" x14ac:dyDescent="0.25">
      <c r="A9" s="1062"/>
      <c r="B9" s="1064"/>
      <c r="C9" s="1065" t="s">
        <v>28</v>
      </c>
      <c r="D9" s="1066"/>
      <c r="E9" s="1070" t="s">
        <v>34</v>
      </c>
      <c r="F9" s="1071"/>
    </row>
    <row r="10" spans="1:8" hidden="1" x14ac:dyDescent="0.25">
      <c r="A10" s="45"/>
      <c r="B10" s="45"/>
      <c r="C10" s="58"/>
      <c r="D10" s="69"/>
      <c r="E10" s="58"/>
      <c r="F10" s="69"/>
    </row>
    <row r="11" spans="1:8" hidden="1" x14ac:dyDescent="0.25">
      <c r="A11" s="45" t="s">
        <v>4</v>
      </c>
      <c r="B11" s="57">
        <v>30000</v>
      </c>
      <c r="C11" s="60"/>
      <c r="D11" s="59">
        <v>30000</v>
      </c>
      <c r="E11" s="60"/>
      <c r="F11" s="59">
        <v>30000</v>
      </c>
    </row>
    <row r="12" spans="1:8" hidden="1" x14ac:dyDescent="0.25">
      <c r="A12" s="45" t="s">
        <v>46</v>
      </c>
      <c r="B12" s="61">
        <f>(-25*589.5)*6%</f>
        <v>-884.25</v>
      </c>
      <c r="C12" s="63"/>
      <c r="D12" s="62">
        <f>-25*589.5*6%</f>
        <v>-884.25</v>
      </c>
      <c r="E12" s="63"/>
      <c r="F12" s="62">
        <f>-25*589.5*6%</f>
        <v>-884.25</v>
      </c>
    </row>
    <row r="13" spans="1:8" hidden="1" x14ac:dyDescent="0.25">
      <c r="A13" s="45" t="s">
        <v>47</v>
      </c>
      <c r="B13" s="61">
        <f>-25*589.5*4%</f>
        <v>-589.5</v>
      </c>
      <c r="C13" s="63"/>
      <c r="D13" s="62">
        <f>-25*589.5*4%</f>
        <v>-589.5</v>
      </c>
      <c r="E13" s="63"/>
      <c r="F13" s="62">
        <f>-25*589.5*4%</f>
        <v>-589.5</v>
      </c>
    </row>
    <row r="14" spans="1:8" hidden="1" x14ac:dyDescent="0.25">
      <c r="A14" s="45" t="s">
        <v>7</v>
      </c>
      <c r="B14" s="61">
        <v>0</v>
      </c>
      <c r="C14" s="63"/>
      <c r="D14" s="62">
        <v>-2649</v>
      </c>
      <c r="E14" s="63"/>
      <c r="F14" s="62">
        <f>-(F11*F28)-F12</f>
        <v>-8115.75</v>
      </c>
    </row>
    <row r="15" spans="1:8" hidden="1" x14ac:dyDescent="0.25">
      <c r="A15" s="45" t="s">
        <v>8</v>
      </c>
      <c r="B15" s="61">
        <v>0</v>
      </c>
      <c r="C15" s="63"/>
      <c r="D15" s="62">
        <f>-16*26.841</f>
        <v>-429.45600000000002</v>
      </c>
      <c r="E15" s="63"/>
      <c r="F15" s="62">
        <f>-16*26.841</f>
        <v>-429.45600000000002</v>
      </c>
    </row>
    <row r="16" spans="1:8" hidden="1" x14ac:dyDescent="0.25">
      <c r="A16" s="45" t="s">
        <v>23</v>
      </c>
      <c r="B16" s="61">
        <v>0</v>
      </c>
      <c r="C16" s="63"/>
      <c r="D16" s="62">
        <v>-2684</v>
      </c>
      <c r="E16" s="63"/>
      <c r="F16" s="62">
        <f>-2684</f>
        <v>-2684</v>
      </c>
    </row>
    <row r="17" spans="1:8" hidden="1" x14ac:dyDescent="0.25">
      <c r="A17" s="45" t="s">
        <v>14</v>
      </c>
      <c r="B17" s="64">
        <v>0</v>
      </c>
      <c r="C17" s="63"/>
      <c r="D17" s="65">
        <f>-32*26.841</f>
        <v>-858.91200000000003</v>
      </c>
      <c r="E17" s="63"/>
      <c r="F17" s="65">
        <f>-32*26.841</f>
        <v>-858.91200000000003</v>
      </c>
    </row>
    <row r="18" spans="1:8" hidden="1" x14ac:dyDescent="0.25">
      <c r="A18" s="45" t="s">
        <v>9</v>
      </c>
      <c r="B18" s="61">
        <f>SUM(B11:B17)</f>
        <v>28526.25</v>
      </c>
      <c r="C18" s="63"/>
      <c r="D18" s="62">
        <v>21905</v>
      </c>
      <c r="E18" s="63"/>
      <c r="F18" s="62">
        <f>SUM(F11:F17)</f>
        <v>16438.132000000001</v>
      </c>
    </row>
    <row r="19" spans="1:8" hidden="1" x14ac:dyDescent="0.25">
      <c r="A19" s="45" t="s">
        <v>18</v>
      </c>
      <c r="B19" s="64">
        <v>0</v>
      </c>
      <c r="C19" s="63"/>
      <c r="D19" s="65">
        <f>-D20*25%/75%</f>
        <v>-5476.377363636363</v>
      </c>
      <c r="E19" s="63"/>
      <c r="F19" s="65">
        <f>-F18*25%</f>
        <v>-4109.5330000000004</v>
      </c>
    </row>
    <row r="20" spans="1:8" hidden="1" x14ac:dyDescent="0.25">
      <c r="A20" s="45" t="s">
        <v>10</v>
      </c>
      <c r="B20" s="61">
        <f>+B18+B19</f>
        <v>28526.25</v>
      </c>
      <c r="C20" s="63"/>
      <c r="D20" s="62">
        <f>+D21*26.841</f>
        <v>16429.13209090909</v>
      </c>
      <c r="E20" s="63"/>
      <c r="F20" s="62">
        <f>+F18+F19</f>
        <v>12328.599000000002</v>
      </c>
    </row>
    <row r="21" spans="1:8" hidden="1" x14ac:dyDescent="0.25">
      <c r="A21" s="45" t="s">
        <v>11</v>
      </c>
      <c r="B21" s="66">
        <f>+B20/26.841</f>
        <v>1062.7864088521292</v>
      </c>
      <c r="C21" s="70"/>
      <c r="D21" s="67">
        <f>+((((152.19)-69)/0.33)+360)</f>
        <v>612.09090909090901</v>
      </c>
      <c r="E21" s="70"/>
      <c r="F21" s="67">
        <f>+F20/26.841</f>
        <v>459.31966022130331</v>
      </c>
    </row>
    <row r="22" spans="1:8" hidden="1" x14ac:dyDescent="0.25">
      <c r="A22" s="45" t="s">
        <v>12</v>
      </c>
      <c r="B22" s="66">
        <v>152.19</v>
      </c>
      <c r="C22" s="70"/>
      <c r="D22" s="68">
        <v>152.19</v>
      </c>
      <c r="E22" s="70"/>
      <c r="F22" s="67">
        <f>+((F21-360)*33%)+69</f>
        <v>101.7754878730301</v>
      </c>
    </row>
    <row r="23" spans="1:8" hidden="1" x14ac:dyDescent="0.25">
      <c r="A23" s="79" t="s">
        <v>24</v>
      </c>
      <c r="B23" s="80">
        <f>(B22*26.841)</f>
        <v>4084.9317900000001</v>
      </c>
      <c r="C23" s="81"/>
      <c r="D23" s="82">
        <v>4085</v>
      </c>
      <c r="E23" s="81"/>
      <c r="F23" s="82">
        <f>(F22*26.841)</f>
        <v>2731.7558700000009</v>
      </c>
    </row>
    <row r="24" spans="1:8" hidden="1" x14ac:dyDescent="0.25">
      <c r="A24" s="45" t="s">
        <v>13</v>
      </c>
      <c r="B24" s="97">
        <f>+B23/B11</f>
        <v>0.13616439299999999</v>
      </c>
      <c r="C24" s="98"/>
      <c r="D24" s="99">
        <v>0.13619999999999999</v>
      </c>
      <c r="E24" s="98"/>
      <c r="F24" s="99">
        <f>+F23/F11</f>
        <v>9.1058529000000027E-2</v>
      </c>
    </row>
    <row r="25" spans="1:8" hidden="1" x14ac:dyDescent="0.25">
      <c r="A25" s="45"/>
      <c r="B25" s="97"/>
      <c r="C25" s="98"/>
      <c r="D25" s="99"/>
      <c r="E25" s="98"/>
      <c r="F25" s="99"/>
    </row>
    <row r="26" spans="1:8" hidden="1" x14ac:dyDescent="0.25">
      <c r="A26" s="40" t="s">
        <v>48</v>
      </c>
      <c r="B26" s="100"/>
      <c r="C26" s="55"/>
      <c r="D26" s="56"/>
      <c r="E26" s="55"/>
      <c r="F26" s="56"/>
    </row>
    <row r="27" spans="1:8" hidden="1" x14ac:dyDescent="0.25">
      <c r="A27" s="79" t="s">
        <v>30</v>
      </c>
      <c r="B27" s="93">
        <f>-(B12+B13+B14+B15+B16+B17+B19)/B11</f>
        <v>4.9125000000000002E-2</v>
      </c>
      <c r="C27" s="86"/>
      <c r="D27" s="94">
        <f>-(D12+D13+D14+D15+D16+D17+D19)/D11</f>
        <v>0.45238317878787881</v>
      </c>
      <c r="E27" s="86"/>
      <c r="F27" s="94">
        <f>-(F12+F13+F14+F15+F16+F17+F19)/F11</f>
        <v>0.58904670000000003</v>
      </c>
    </row>
    <row r="28" spans="1:8" hidden="1" x14ac:dyDescent="0.25">
      <c r="A28" s="45" t="s">
        <v>31</v>
      </c>
      <c r="B28" s="45" t="s">
        <v>17</v>
      </c>
      <c r="C28" s="58"/>
      <c r="D28" s="101">
        <f>-(D14+D12)/D11</f>
        <v>0.117775</v>
      </c>
      <c r="E28" s="58"/>
      <c r="F28" s="101">
        <v>0.3</v>
      </c>
    </row>
    <row r="29" spans="1:8" hidden="1" x14ac:dyDescent="0.25">
      <c r="A29" s="102" t="s">
        <v>49</v>
      </c>
      <c r="B29" s="45" t="s">
        <v>17</v>
      </c>
      <c r="C29" s="58"/>
      <c r="D29" s="101">
        <f>-D16/D11</f>
        <v>8.9466666666666667E-2</v>
      </c>
      <c r="E29" s="58"/>
      <c r="F29" s="101">
        <f>-F16/F11</f>
        <v>8.9466666666666667E-2</v>
      </c>
    </row>
    <row r="30" spans="1:8" ht="18" hidden="1" x14ac:dyDescent="0.25">
      <c r="A30" s="74" t="s">
        <v>33</v>
      </c>
      <c r="B30" s="74"/>
      <c r="C30" s="103"/>
      <c r="D30" s="104" t="s">
        <v>15</v>
      </c>
      <c r="E30" s="105"/>
      <c r="F30" s="104" t="s">
        <v>15</v>
      </c>
      <c r="H30" s="125">
        <v>12</v>
      </c>
    </row>
    <row r="31" spans="1:8" hidden="1" x14ac:dyDescent="0.25">
      <c r="A31" s="83"/>
      <c r="B31" s="83"/>
      <c r="C31" s="83"/>
      <c r="D31" s="84"/>
      <c r="E31" s="84"/>
      <c r="F31" s="84"/>
    </row>
    <row r="32" spans="1:8" hidden="1" x14ac:dyDescent="0.25"/>
    <row r="33" spans="1:6" ht="31.5" hidden="1" customHeight="1" x14ac:dyDescent="0.25">
      <c r="A33" s="1058" t="s">
        <v>53</v>
      </c>
      <c r="B33" s="1058"/>
      <c r="C33" s="1058"/>
      <c r="D33" s="1058"/>
      <c r="E33" s="1058"/>
      <c r="F33" s="1058"/>
    </row>
    <row r="34" spans="1:6" ht="15.75" hidden="1" x14ac:dyDescent="0.25">
      <c r="A34" s="1059" t="s">
        <v>35</v>
      </c>
      <c r="B34" s="1059"/>
      <c r="C34" s="1059"/>
      <c r="D34" s="1059"/>
      <c r="E34" s="1059"/>
      <c r="F34" s="1059"/>
    </row>
    <row r="35" spans="1:6" hidden="1" x14ac:dyDescent="0.25"/>
    <row r="36" spans="1:6" hidden="1" x14ac:dyDescent="0.25">
      <c r="A36" s="1060" t="s">
        <v>21</v>
      </c>
      <c r="B36" s="1079" t="s">
        <v>50</v>
      </c>
      <c r="C36" s="1080"/>
      <c r="D36" s="1080"/>
      <c r="E36" s="1080"/>
      <c r="F36" s="1081"/>
    </row>
    <row r="37" spans="1:6" ht="49.5" hidden="1" customHeight="1" x14ac:dyDescent="0.25">
      <c r="A37" s="1063"/>
      <c r="B37" s="1060" t="s">
        <v>3</v>
      </c>
      <c r="C37" s="1082" t="s">
        <v>20</v>
      </c>
      <c r="D37" s="1083"/>
      <c r="E37" s="1083"/>
      <c r="F37" s="1084"/>
    </row>
    <row r="38" spans="1:6" hidden="1" x14ac:dyDescent="0.25">
      <c r="A38" s="1063"/>
      <c r="B38" s="1061"/>
      <c r="C38" s="18"/>
      <c r="D38" s="19" t="s">
        <v>27</v>
      </c>
      <c r="E38" s="20"/>
      <c r="F38" s="21" t="s">
        <v>22</v>
      </c>
    </row>
    <row r="39" spans="1:6" ht="41.25" hidden="1" customHeight="1" x14ac:dyDescent="0.25">
      <c r="A39" s="1064"/>
      <c r="B39" s="1062"/>
      <c r="C39" s="1065" t="s">
        <v>28</v>
      </c>
      <c r="D39" s="1066"/>
      <c r="E39" s="1070" t="s">
        <v>34</v>
      </c>
      <c r="F39" s="1071"/>
    </row>
    <row r="40" spans="1:6" hidden="1" x14ac:dyDescent="0.25">
      <c r="A40" s="108"/>
      <c r="B40" s="107"/>
      <c r="C40" s="112"/>
      <c r="D40" s="113"/>
      <c r="E40" s="20"/>
      <c r="F40" s="21"/>
    </row>
    <row r="41" spans="1:6" hidden="1" x14ac:dyDescent="0.25">
      <c r="A41" s="58" t="s">
        <v>4</v>
      </c>
      <c r="B41" s="57">
        <f>+B11*12</f>
        <v>360000</v>
      </c>
      <c r="C41" s="60"/>
      <c r="D41" s="114">
        <f>+D11*12</f>
        <v>360000</v>
      </c>
      <c r="E41" s="58"/>
      <c r="F41" s="59">
        <f>+F11*12</f>
        <v>360000</v>
      </c>
    </row>
    <row r="42" spans="1:6" hidden="1" x14ac:dyDescent="0.25">
      <c r="A42" s="58" t="s">
        <v>46</v>
      </c>
      <c r="B42" s="61">
        <f>-10608</f>
        <v>-10608</v>
      </c>
      <c r="C42" s="63"/>
      <c r="D42" s="115">
        <f>-10608</f>
        <v>-10608</v>
      </c>
      <c r="E42" s="58"/>
      <c r="F42" s="62">
        <f>-10608</f>
        <v>-10608</v>
      </c>
    </row>
    <row r="43" spans="1:6" hidden="1" x14ac:dyDescent="0.25">
      <c r="A43" s="58" t="s">
        <v>47</v>
      </c>
      <c r="B43" s="61">
        <v>-7080</v>
      </c>
      <c r="C43" s="63"/>
      <c r="D43" s="115">
        <v>-7080</v>
      </c>
      <c r="E43" s="58"/>
      <c r="F43" s="62">
        <v>-7080</v>
      </c>
    </row>
    <row r="44" spans="1:6" hidden="1" x14ac:dyDescent="0.25">
      <c r="A44" s="58" t="s">
        <v>7</v>
      </c>
      <c r="B44" s="61">
        <v>0</v>
      </c>
      <c r="C44" s="63"/>
      <c r="D44" s="115">
        <f>-2649*12</f>
        <v>-31788</v>
      </c>
      <c r="E44" s="58"/>
      <c r="F44" s="62">
        <f>-8116*12</f>
        <v>-97392</v>
      </c>
    </row>
    <row r="45" spans="1:6" hidden="1" x14ac:dyDescent="0.25">
      <c r="A45" s="58" t="s">
        <v>8</v>
      </c>
      <c r="B45" s="61">
        <v>0</v>
      </c>
      <c r="C45" s="63"/>
      <c r="D45" s="115">
        <f>-429*12</f>
        <v>-5148</v>
      </c>
      <c r="E45" s="58"/>
      <c r="F45" s="62">
        <f>-429*12</f>
        <v>-5148</v>
      </c>
    </row>
    <row r="46" spans="1:6" hidden="1" x14ac:dyDescent="0.25">
      <c r="A46" s="58" t="s">
        <v>23</v>
      </c>
      <c r="B46" s="61">
        <v>0</v>
      </c>
      <c r="C46" s="63"/>
      <c r="D46" s="115">
        <f>-2684*12</f>
        <v>-32208</v>
      </c>
      <c r="E46" s="58"/>
      <c r="F46" s="62">
        <f>-2684*12</f>
        <v>-32208</v>
      </c>
    </row>
    <row r="47" spans="1:6" hidden="1" x14ac:dyDescent="0.25">
      <c r="A47" s="58" t="s">
        <v>14</v>
      </c>
      <c r="B47" s="64">
        <v>0</v>
      </c>
      <c r="C47" s="58"/>
      <c r="D47" s="116">
        <f>-859*12</f>
        <v>-10308</v>
      </c>
      <c r="E47" s="63"/>
      <c r="F47" s="65">
        <f>-859*12</f>
        <v>-10308</v>
      </c>
    </row>
    <row r="48" spans="1:6" hidden="1" x14ac:dyDescent="0.25">
      <c r="A48" s="58" t="s">
        <v>9</v>
      </c>
      <c r="B48" s="61">
        <f>SUM(B41:B47)</f>
        <v>342312</v>
      </c>
      <c r="C48" s="63"/>
      <c r="D48" s="115">
        <f>SUM(D41:D47)</f>
        <v>262860</v>
      </c>
      <c r="E48" s="58"/>
      <c r="F48" s="62">
        <f>SUM(F41:F47)</f>
        <v>197256</v>
      </c>
    </row>
    <row r="49" spans="1:8" hidden="1" x14ac:dyDescent="0.25">
      <c r="A49" s="58" t="s">
        <v>18</v>
      </c>
      <c r="B49" s="64">
        <v>0</v>
      </c>
      <c r="C49" s="58"/>
      <c r="D49" s="116">
        <f>-D48*25%</f>
        <v>-65715</v>
      </c>
      <c r="E49" s="63"/>
      <c r="F49" s="65">
        <f>-F48*25%</f>
        <v>-49314</v>
      </c>
    </row>
    <row r="50" spans="1:8" hidden="1" x14ac:dyDescent="0.25">
      <c r="A50" s="58" t="s">
        <v>10</v>
      </c>
      <c r="B50" s="61">
        <f>SUM(B48:B49)</f>
        <v>342312</v>
      </c>
      <c r="C50" s="58"/>
      <c r="D50" s="115">
        <f>SUM(D48:D49)</f>
        <v>197145</v>
      </c>
      <c r="E50" s="63"/>
      <c r="F50" s="62">
        <f>SUM(F48:F49)</f>
        <v>147942</v>
      </c>
    </row>
    <row r="51" spans="1:8" hidden="1" x14ac:dyDescent="0.25">
      <c r="A51" s="58" t="s">
        <v>11</v>
      </c>
      <c r="B51" s="66">
        <f>+B50/26.841</f>
        <v>12753.325136917401</v>
      </c>
      <c r="C51" s="70"/>
      <c r="D51" s="117">
        <f>+D50/26.841</f>
        <v>7344.9200849446743</v>
      </c>
      <c r="E51" s="58"/>
      <c r="F51" s="67">
        <f>+F50/26.841</f>
        <v>5511.7916620096121</v>
      </c>
    </row>
    <row r="52" spans="1:8" hidden="1" x14ac:dyDescent="0.25">
      <c r="A52" s="58" t="s">
        <v>36</v>
      </c>
      <c r="B52" s="66">
        <v>1826.31</v>
      </c>
      <c r="C52" s="70"/>
      <c r="D52" s="117">
        <f>+(((D51-4100)*33%)+788)</f>
        <v>1858.8236280317426</v>
      </c>
      <c r="E52" s="58"/>
      <c r="F52" s="68">
        <f>+(((F51-4100)*33%)+788)</f>
        <v>1253.8912484631719</v>
      </c>
    </row>
    <row r="53" spans="1:8" hidden="1" x14ac:dyDescent="0.25">
      <c r="A53" s="86" t="s">
        <v>37</v>
      </c>
      <c r="B53" s="80">
        <f>+B52*26.841</f>
        <v>49019.986709999997</v>
      </c>
      <c r="C53" s="87"/>
      <c r="D53" s="88">
        <f>+D52*26.841</f>
        <v>49892.685000000005</v>
      </c>
      <c r="E53" s="81"/>
      <c r="F53" s="82">
        <f>+F52*26.841</f>
        <v>33655.695</v>
      </c>
    </row>
    <row r="54" spans="1:8" hidden="1" x14ac:dyDescent="0.25">
      <c r="A54" s="86" t="s">
        <v>38</v>
      </c>
      <c r="B54" s="80">
        <v>0</v>
      </c>
      <c r="C54" s="87"/>
      <c r="D54" s="88">
        <v>0</v>
      </c>
      <c r="E54" s="81"/>
      <c r="F54" s="82">
        <f>+B53-F53</f>
        <v>15364.291709999998</v>
      </c>
    </row>
    <row r="55" spans="1:8" hidden="1" x14ac:dyDescent="0.25">
      <c r="A55" s="86" t="s">
        <v>24</v>
      </c>
      <c r="B55" s="80">
        <f>-4085*12</f>
        <v>-49020</v>
      </c>
      <c r="C55" s="81"/>
      <c r="D55" s="88">
        <f>-4085*12</f>
        <v>-49020</v>
      </c>
      <c r="E55" s="86"/>
      <c r="F55" s="82">
        <f>-2732*12</f>
        <v>-32784</v>
      </c>
    </row>
    <row r="56" spans="1:8" hidden="1" x14ac:dyDescent="0.25">
      <c r="A56" s="86" t="s">
        <v>51</v>
      </c>
      <c r="B56" s="89">
        <v>0</v>
      </c>
      <c r="C56" s="81"/>
      <c r="D56" s="90">
        <v>0</v>
      </c>
      <c r="E56" s="86"/>
      <c r="F56" s="91">
        <f>$B$55-F55</f>
        <v>-16236</v>
      </c>
    </row>
    <row r="57" spans="1:8" hidden="1" x14ac:dyDescent="0.25">
      <c r="A57" s="118" t="s">
        <v>40</v>
      </c>
      <c r="B57" s="72">
        <f>SUM(B53:B56)</f>
        <v>-1.329000000259839E-2</v>
      </c>
      <c r="C57" s="119"/>
      <c r="D57" s="120">
        <f>SUM(D53:D56)</f>
        <v>872.68500000000495</v>
      </c>
      <c r="E57" s="58"/>
      <c r="F57" s="73">
        <f>SUM(F53:F56)</f>
        <v>-1.329000000259839E-2</v>
      </c>
    </row>
    <row r="58" spans="1:8" ht="7.5" hidden="1" customHeight="1" x14ac:dyDescent="0.25">
      <c r="A58" s="58"/>
      <c r="B58" s="61"/>
      <c r="C58" s="63"/>
      <c r="D58" s="115"/>
      <c r="E58" s="58"/>
      <c r="F58" s="69"/>
    </row>
    <row r="59" spans="1:8" hidden="1" x14ac:dyDescent="0.25">
      <c r="A59" s="103" t="s">
        <v>41</v>
      </c>
      <c r="B59" s="75">
        <f>+B53/B41</f>
        <v>0.13616662974999999</v>
      </c>
      <c r="C59" s="121"/>
      <c r="D59" s="122">
        <f>+D53/D41</f>
        <v>0.13859079166666669</v>
      </c>
      <c r="E59" s="103"/>
      <c r="F59" s="77">
        <f>+F53/F41</f>
        <v>9.348804166666666E-2</v>
      </c>
    </row>
    <row r="60" spans="1:8" hidden="1" x14ac:dyDescent="0.25"/>
    <row r="61" spans="1:8" hidden="1" x14ac:dyDescent="0.25"/>
    <row r="62" spans="1:8" ht="18" hidden="1" x14ac:dyDescent="0.25">
      <c r="H62" s="125">
        <v>13</v>
      </c>
    </row>
    <row r="63" spans="1:8" hidden="1" x14ac:dyDescent="0.25"/>
    <row r="64" spans="1: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sheetData>
  <sheetProtection password="941B" sheet="1"/>
  <mergeCells count="17">
    <mergeCell ref="A33:F33"/>
    <mergeCell ref="A36:A39"/>
    <mergeCell ref="B36:F36"/>
    <mergeCell ref="B37:B39"/>
    <mergeCell ref="C37:F37"/>
    <mergeCell ref="C39:D39"/>
    <mergeCell ref="E39:F39"/>
    <mergeCell ref="A34:F34"/>
    <mergeCell ref="A1:F1"/>
    <mergeCell ref="A2:F2"/>
    <mergeCell ref="A4:F4"/>
    <mergeCell ref="A5:F5"/>
    <mergeCell ref="A7:A9"/>
    <mergeCell ref="B7:B9"/>
    <mergeCell ref="C7:F7"/>
    <mergeCell ref="C9:D9"/>
    <mergeCell ref="E9:F9"/>
  </mergeCells>
  <pageMargins left="1.1023622047244095" right="0.70866141732283472" top="0.74803149606299213" bottom="0.74803149606299213" header="0.31496062992125984" footer="0.31496062992125984"/>
  <pageSetup scale="95"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3"/>
  <dimension ref="A1:H70"/>
  <sheetViews>
    <sheetView showGridLines="0" topLeftCell="A47" zoomScale="110" zoomScaleNormal="110" workbookViewId="0">
      <selection activeCell="E57" sqref="E57"/>
    </sheetView>
  </sheetViews>
  <sheetFormatPr baseColWidth="10" defaultColWidth="11.5703125" defaultRowHeight="15" x14ac:dyDescent="0.25"/>
  <cols>
    <col min="1" max="1" width="77" style="154" customWidth="1"/>
    <col min="2" max="2" width="11.28515625" style="154" customWidth="1"/>
    <col min="3" max="3" width="23" style="154" hidden="1" customWidth="1"/>
    <col min="4" max="4" width="16.85546875" style="154" customWidth="1"/>
    <col min="5" max="5" width="16" style="154" customWidth="1"/>
    <col min="6" max="6" width="7" style="154" customWidth="1"/>
    <col min="7" max="8" width="15.28515625" style="154" customWidth="1"/>
    <col min="9" max="16384" width="11.5703125" style="154"/>
  </cols>
  <sheetData>
    <row r="1" spans="1:8" ht="30.75" customHeight="1" x14ac:dyDescent="0.25">
      <c r="A1" s="1026" t="s">
        <v>234</v>
      </c>
      <c r="B1" s="1027"/>
      <c r="C1" s="1027"/>
      <c r="D1" s="1027"/>
      <c r="E1" s="1027"/>
    </row>
    <row r="2" spans="1:8" ht="12" hidden="1" customHeight="1" x14ac:dyDescent="0.25">
      <c r="A2" s="1028" t="s">
        <v>123</v>
      </c>
      <c r="B2" s="1029"/>
      <c r="C2" s="1029"/>
      <c r="D2" s="1029"/>
      <c r="E2" s="1029"/>
    </row>
    <row r="3" spans="1:8" s="570" customFormat="1" ht="15.75" customHeight="1" x14ac:dyDescent="0.25">
      <c r="A3" s="658"/>
      <c r="B3" s="658" t="s">
        <v>232</v>
      </c>
      <c r="C3" s="660"/>
      <c r="D3" s="660"/>
      <c r="E3" s="660"/>
    </row>
    <row r="4" spans="1:8" s="570" customFormat="1" ht="15.75" customHeight="1" x14ac:dyDescent="0.25">
      <c r="A4" s="658"/>
      <c r="B4" s="658" t="s">
        <v>233</v>
      </c>
      <c r="C4" s="660"/>
      <c r="D4" s="660"/>
      <c r="E4" s="660"/>
    </row>
    <row r="5" spans="1:8" s="570" customFormat="1" ht="15.75" customHeight="1" x14ac:dyDescent="0.25">
      <c r="A5" s="659"/>
      <c r="B5" s="658" t="s">
        <v>283</v>
      </c>
      <c r="C5" s="660"/>
      <c r="D5" s="660"/>
      <c r="E5" s="660"/>
    </row>
    <row r="6" spans="1:8" s="499" customFormat="1" ht="15.75" thickBot="1" x14ac:dyDescent="0.3">
      <c r="A6" s="659"/>
      <c r="B6" s="658" t="s">
        <v>284</v>
      </c>
      <c r="C6" s="661">
        <v>0.1</v>
      </c>
      <c r="D6" s="662"/>
      <c r="E6" s="662"/>
    </row>
    <row r="7" spans="1:8" ht="15.75" thickBot="1" x14ac:dyDescent="0.3">
      <c r="A7" s="596" t="s">
        <v>220</v>
      </c>
      <c r="B7" s="515"/>
      <c r="C7" s="551"/>
      <c r="D7" s="516"/>
      <c r="E7" s="517"/>
    </row>
    <row r="8" spans="1:8" ht="15.75" x14ac:dyDescent="0.25">
      <c r="A8" s="668"/>
      <c r="B8" s="668"/>
      <c r="C8" s="153"/>
      <c r="D8" s="668" t="s">
        <v>256</v>
      </c>
      <c r="E8" s="672" t="s">
        <v>244</v>
      </c>
    </row>
    <row r="9" spans="1:8" x14ac:dyDescent="0.25">
      <c r="A9" s="669"/>
      <c r="B9" s="669"/>
      <c r="C9" s="670"/>
      <c r="D9" s="669" t="s">
        <v>235</v>
      </c>
      <c r="E9" s="671">
        <f>+'Cálculo % Fijo de Ret.Fte.'!G16</f>
        <v>31859</v>
      </c>
    </row>
    <row r="10" spans="1:8" ht="15.75" thickBot="1" x14ac:dyDescent="0.3">
      <c r="A10" s="634"/>
      <c r="B10" s="634"/>
      <c r="C10" s="489"/>
      <c r="D10" s="634" t="s">
        <v>236</v>
      </c>
      <c r="E10" s="663">
        <f>+'Cálculo % Fijo de Ret.Fte.'!G17</f>
        <v>737717</v>
      </c>
    </row>
    <row r="11" spans="1:8" s="607" customFormat="1" ht="15.75" thickBot="1" x14ac:dyDescent="0.3">
      <c r="A11" s="636"/>
      <c r="B11" s="636"/>
      <c r="C11" s="637"/>
      <c r="D11" s="636"/>
      <c r="E11" s="673"/>
    </row>
    <row r="12" spans="1:8" x14ac:dyDescent="0.25">
      <c r="A12" s="611" t="s">
        <v>224</v>
      </c>
      <c r="B12" s="612"/>
      <c r="C12" s="613"/>
      <c r="D12" s="614"/>
      <c r="E12" s="615"/>
      <c r="H12" s="501"/>
    </row>
    <row r="13" spans="1:8" s="625" customFormat="1" ht="11.25" x14ac:dyDescent="0.2">
      <c r="A13" s="616" t="s">
        <v>225</v>
      </c>
      <c r="B13" s="617"/>
      <c r="C13" s="618"/>
      <c r="D13" s="619"/>
      <c r="E13" s="619" t="s">
        <v>226</v>
      </c>
      <c r="H13" s="623"/>
    </row>
    <row r="14" spans="1:8" x14ac:dyDescent="0.25">
      <c r="A14" s="674">
        <f>+'Cálculo % Fijo de Ret.Fte.'!C21</f>
        <v>0</v>
      </c>
      <c r="B14" s="654"/>
      <c r="C14" s="655"/>
      <c r="D14" s="675"/>
      <c r="E14" s="676">
        <f>+'Cálculo % Fijo de Ret.Fte.'!G21</f>
        <v>0</v>
      </c>
      <c r="H14" s="501"/>
    </row>
    <row r="15" spans="1:8" x14ac:dyDescent="0.25">
      <c r="A15" s="626" t="s">
        <v>227</v>
      </c>
      <c r="B15" s="627"/>
      <c r="C15" s="628"/>
      <c r="D15" s="629"/>
      <c r="E15" s="630"/>
      <c r="H15" s="501"/>
    </row>
    <row r="16" spans="1:8" s="625" customFormat="1" ht="11.25" x14ac:dyDescent="0.2">
      <c r="A16" s="616" t="s">
        <v>228</v>
      </c>
      <c r="B16" s="617"/>
      <c r="C16" s="618"/>
      <c r="D16" s="619"/>
      <c r="E16" s="619" t="s">
        <v>230</v>
      </c>
      <c r="H16" s="623"/>
    </row>
    <row r="17" spans="1:8" x14ac:dyDescent="0.25">
      <c r="A17" s="674">
        <f>+'Cálculo % Fijo de Ret.Fte.'!C24</f>
        <v>0</v>
      </c>
      <c r="B17" s="654"/>
      <c r="C17" s="655"/>
      <c r="D17" s="675"/>
      <c r="E17" s="676">
        <f>+'Cálculo % Fijo de Ret.Fte.'!G24</f>
        <v>0</v>
      </c>
      <c r="H17" s="501"/>
    </row>
    <row r="18" spans="1:8" x14ac:dyDescent="0.25">
      <c r="A18" s="640"/>
      <c r="B18" s="267"/>
      <c r="C18" s="267"/>
      <c r="D18" s="641"/>
      <c r="E18" s="585"/>
    </row>
    <row r="19" spans="1:8" hidden="1" x14ac:dyDescent="0.25">
      <c r="A19" s="611" t="s">
        <v>229</v>
      </c>
      <c r="B19" s="612"/>
      <c r="C19" s="613"/>
      <c r="D19" s="614"/>
      <c r="E19" s="615"/>
      <c r="H19" s="501"/>
    </row>
    <row r="20" spans="1:8" hidden="1" x14ac:dyDescent="0.25">
      <c r="A20" s="513"/>
      <c r="B20" s="513" t="s">
        <v>215</v>
      </c>
      <c r="C20" s="520"/>
      <c r="D20" s="573">
        <v>41974</v>
      </c>
      <c r="E20" s="574">
        <v>42338</v>
      </c>
    </row>
    <row r="21" spans="1:8" ht="15.75" hidden="1" thickBot="1" x14ac:dyDescent="0.3">
      <c r="A21" s="518"/>
      <c r="B21" s="518" t="s">
        <v>216</v>
      </c>
      <c r="C21" s="512"/>
      <c r="D21" s="584">
        <f>+E21/30</f>
        <v>12.166666666666666</v>
      </c>
      <c r="E21" s="519">
        <f>+E20-D20+1</f>
        <v>365</v>
      </c>
    </row>
    <row r="22" spans="1:8" s="607" customFormat="1" hidden="1" x14ac:dyDescent="0.25">
      <c r="A22" s="631"/>
      <c r="B22" s="631"/>
      <c r="D22" s="639"/>
      <c r="E22" s="632"/>
    </row>
    <row r="23" spans="1:8" x14ac:dyDescent="0.25">
      <c r="A23" s="537" t="s">
        <v>237</v>
      </c>
      <c r="B23" s="538"/>
      <c r="C23" s="552"/>
      <c r="D23" s="511" t="s">
        <v>213</v>
      </c>
      <c r="E23" s="586" t="s">
        <v>214</v>
      </c>
    </row>
    <row r="24" spans="1:8" x14ac:dyDescent="0.25">
      <c r="A24" s="507" t="s">
        <v>190</v>
      </c>
      <c r="B24" s="510"/>
      <c r="C24" s="489"/>
      <c r="D24" s="575">
        <v>0</v>
      </c>
      <c r="E24" s="594">
        <f t="shared" ref="E24:E35" si="0">IF(D24&gt;0,+D24/$D$37,0)</f>
        <v>0</v>
      </c>
    </row>
    <row r="25" spans="1:8" x14ac:dyDescent="0.25">
      <c r="A25" s="507" t="s">
        <v>204</v>
      </c>
      <c r="B25" s="510"/>
      <c r="C25" s="489"/>
      <c r="D25" s="576">
        <v>0</v>
      </c>
      <c r="E25" s="594">
        <f t="shared" si="0"/>
        <v>0</v>
      </c>
    </row>
    <row r="26" spans="1:8" x14ac:dyDescent="0.25">
      <c r="A26" s="507" t="s">
        <v>193</v>
      </c>
      <c r="B26" s="510"/>
      <c r="C26" s="489"/>
      <c r="D26" s="576">
        <v>0</v>
      </c>
      <c r="E26" s="594">
        <f t="shared" si="0"/>
        <v>0</v>
      </c>
    </row>
    <row r="27" spans="1:8" x14ac:dyDescent="0.25">
      <c r="A27" s="507" t="s">
        <v>194</v>
      </c>
      <c r="B27" s="510"/>
      <c r="C27" s="489"/>
      <c r="D27" s="576">
        <v>0</v>
      </c>
      <c r="E27" s="594">
        <f t="shared" si="0"/>
        <v>0</v>
      </c>
    </row>
    <row r="28" spans="1:8" x14ac:dyDescent="0.25">
      <c r="A28" s="507" t="s">
        <v>195</v>
      </c>
      <c r="B28" s="510"/>
      <c r="C28" s="489"/>
      <c r="D28" s="576">
        <v>0</v>
      </c>
      <c r="E28" s="594">
        <f t="shared" si="0"/>
        <v>0</v>
      </c>
    </row>
    <row r="29" spans="1:8" x14ac:dyDescent="0.25">
      <c r="A29" s="507" t="s">
        <v>198</v>
      </c>
      <c r="B29" s="510"/>
      <c r="C29" s="489"/>
      <c r="D29" s="576">
        <v>0</v>
      </c>
      <c r="E29" s="594">
        <f t="shared" si="0"/>
        <v>0</v>
      </c>
    </row>
    <row r="30" spans="1:8" x14ac:dyDescent="0.25">
      <c r="A30" s="507" t="s">
        <v>191</v>
      </c>
      <c r="B30" s="510"/>
      <c r="C30" s="489"/>
      <c r="D30" s="576">
        <v>0</v>
      </c>
      <c r="E30" s="594">
        <f t="shared" si="0"/>
        <v>0</v>
      </c>
    </row>
    <row r="31" spans="1:8" x14ac:dyDescent="0.25">
      <c r="A31" s="507" t="s">
        <v>196</v>
      </c>
      <c r="B31" s="510"/>
      <c r="C31" s="489"/>
      <c r="D31" s="576">
        <v>0</v>
      </c>
      <c r="E31" s="594">
        <f t="shared" si="0"/>
        <v>0</v>
      </c>
    </row>
    <row r="32" spans="1:8" x14ac:dyDescent="0.25">
      <c r="A32" s="507" t="s">
        <v>197</v>
      </c>
      <c r="B32" s="510"/>
      <c r="C32" s="489"/>
      <c r="D32" s="576">
        <v>0</v>
      </c>
      <c r="E32" s="594">
        <f t="shared" si="0"/>
        <v>0</v>
      </c>
    </row>
    <row r="33" spans="1:7" x14ac:dyDescent="0.25">
      <c r="A33" s="507" t="s">
        <v>199</v>
      </c>
      <c r="B33" s="510"/>
      <c r="C33" s="489"/>
      <c r="D33" s="576">
        <v>0</v>
      </c>
      <c r="E33" s="594">
        <f t="shared" si="0"/>
        <v>0</v>
      </c>
    </row>
    <row r="34" spans="1:7" x14ac:dyDescent="0.25">
      <c r="A34" s="507" t="s">
        <v>192</v>
      </c>
      <c r="B34" s="510"/>
      <c r="C34" s="489"/>
      <c r="D34" s="576">
        <v>0</v>
      </c>
      <c r="E34" s="594">
        <f t="shared" si="0"/>
        <v>0</v>
      </c>
    </row>
    <row r="35" spans="1:7" x14ac:dyDescent="0.25">
      <c r="A35" s="507" t="s">
        <v>200</v>
      </c>
      <c r="B35" s="510"/>
      <c r="C35" s="489"/>
      <c r="D35" s="576">
        <v>0</v>
      </c>
      <c r="E35" s="594">
        <f t="shared" si="0"/>
        <v>0</v>
      </c>
    </row>
    <row r="36" spans="1:7" x14ac:dyDescent="0.25">
      <c r="A36" s="508" t="s">
        <v>201</v>
      </c>
      <c r="B36" s="509"/>
      <c r="C36" s="489"/>
      <c r="D36" s="588">
        <f>-D35</f>
        <v>0</v>
      </c>
      <c r="E36" s="595"/>
    </row>
    <row r="37" spans="1:7" x14ac:dyDescent="0.25">
      <c r="A37" s="500" t="s">
        <v>210</v>
      </c>
      <c r="B37" s="665" t="s">
        <v>98</v>
      </c>
      <c r="C37" s="489"/>
      <c r="D37" s="589">
        <f>SUM(D24:D35)</f>
        <v>0</v>
      </c>
      <c r="E37" s="422">
        <f>SUM(E24:E36)</f>
        <v>0</v>
      </c>
    </row>
    <row r="38" spans="1:7" hidden="1" x14ac:dyDescent="0.25">
      <c r="A38" s="205" t="s">
        <v>134</v>
      </c>
      <c r="B38" s="664" t="str">
        <f>+B37</f>
        <v>MENSUAL</v>
      </c>
      <c r="C38" s="489"/>
      <c r="D38" s="590">
        <v>0</v>
      </c>
      <c r="E38" s="422">
        <f>IF(D38&gt;0,+D38/$D$41,0)</f>
        <v>0</v>
      </c>
    </row>
    <row r="39" spans="1:7" hidden="1" x14ac:dyDescent="0.25">
      <c r="A39" s="205" t="s">
        <v>140</v>
      </c>
      <c r="B39" s="664" t="str">
        <f>+B38</f>
        <v>MENSUAL</v>
      </c>
      <c r="C39" s="489"/>
      <c r="D39" s="590">
        <v>0</v>
      </c>
      <c r="E39" s="422">
        <f>IF(D39&gt;0,+D39/$D$41,0)</f>
        <v>0</v>
      </c>
    </row>
    <row r="40" spans="1:7" hidden="1" x14ac:dyDescent="0.25">
      <c r="A40" s="205" t="s">
        <v>141</v>
      </c>
      <c r="B40" s="664" t="str">
        <f>+B39</f>
        <v>MENSUAL</v>
      </c>
      <c r="C40" s="489"/>
      <c r="D40" s="590">
        <v>0</v>
      </c>
      <c r="E40" s="422">
        <f>IF(D40&gt;0,+D40/$D$41,0)</f>
        <v>0</v>
      </c>
    </row>
    <row r="41" spans="1:7" x14ac:dyDescent="0.25">
      <c r="A41" s="328" t="s">
        <v>243</v>
      </c>
      <c r="B41" s="666" t="str">
        <f>+B40</f>
        <v>MENSUAL</v>
      </c>
      <c r="C41" s="489"/>
      <c r="D41" s="423">
        <f>SUM(D24:D36)</f>
        <v>0</v>
      </c>
      <c r="E41" s="424">
        <f>SUM(E24:E34)</f>
        <v>0</v>
      </c>
    </row>
    <row r="42" spans="1:7" ht="15" customHeight="1" thickBot="1" x14ac:dyDescent="0.3">
      <c r="A42" s="1030"/>
      <c r="B42" s="1031"/>
      <c r="C42" s="1031"/>
      <c r="D42" s="1031"/>
      <c r="E42" s="1031"/>
    </row>
    <row r="43" spans="1:7" ht="72.599999999999994" customHeight="1" thickBot="1" x14ac:dyDescent="0.3">
      <c r="A43" s="560" t="s">
        <v>21</v>
      </c>
      <c r="B43" s="561"/>
      <c r="C43" s="207" t="s">
        <v>3</v>
      </c>
      <c r="D43" s="207" t="s">
        <v>218</v>
      </c>
      <c r="E43" s="498" t="s">
        <v>238</v>
      </c>
    </row>
    <row r="44" spans="1:7" x14ac:dyDescent="0.25">
      <c r="A44" s="597" t="s">
        <v>239</v>
      </c>
      <c r="B44" s="598"/>
      <c r="C44" s="599">
        <f>IF(A2="PARA TRABAJADORES INDEPENDIENTES SIN CATEGORÍA DE EMPLEADOS",0,+D37+D38)</f>
        <v>0</v>
      </c>
      <c r="D44" s="600"/>
      <c r="E44" s="601">
        <f>+D41</f>
        <v>0</v>
      </c>
      <c r="G44" s="326"/>
    </row>
    <row r="45" spans="1:7" x14ac:dyDescent="0.25">
      <c r="A45" s="554" t="s">
        <v>205</v>
      </c>
      <c r="B45" s="489"/>
      <c r="C45" s="330"/>
      <c r="D45" s="209"/>
      <c r="E45" s="331"/>
      <c r="G45" s="326"/>
    </row>
    <row r="46" spans="1:7" x14ac:dyDescent="0.25">
      <c r="A46" s="285" t="s">
        <v>160</v>
      </c>
      <c r="B46" s="489"/>
      <c r="C46" s="330">
        <f>IF(A2="PARA TRABAJADORES INDEPENDIENTES SIN CATEGORÍA DE EMPLEADOS",0,IF(D37&gt;0,IF(C48&lt;0,0,-IF($D$37&gt;#REF!,#REF!*$D$46,$D$37*$D$46)),0))</f>
        <v>0</v>
      </c>
      <c r="D46" s="559">
        <f>IF(A2="PARA ASALARIADOS CON CATEGORÍA DE EMPLEADOS",IF(APPensiones!J3&gt;0,APPensiones!J3,APPensiones!J4),IF(APPensiones!J3&gt;0,APPensiones!J3,APPensiones!J4))</f>
        <v>0.04</v>
      </c>
      <c r="E46" s="331">
        <f>IF(D41&gt;0,IF(E48&lt;0,0,-SUM(D24:D30)*$D$46),0)</f>
        <v>0</v>
      </c>
      <c r="G46" s="501"/>
    </row>
    <row r="47" spans="1:7" x14ac:dyDescent="0.25">
      <c r="A47" s="285" t="s">
        <v>161</v>
      </c>
      <c r="B47" s="489"/>
      <c r="C47" s="330">
        <f>IF(A2="PARA TRABAJADORES INDEPENDIENTES SIN CATEGORÍA DE EMPLEADOS",0,IF($A$2&lt;&gt;"PARA ASALARIADOS CON CATEGORÍA DE EMPLEADOS",IF(C48&lt;0,0,-IF($D$38*0.4&gt;#REF!,#REF!*$D$47,$D$38*0.4*$D$47)),IF(C48&lt;0,0,-IF($D$38*0.4&gt;#REF!,#REF!*$D$47,$D$38*0.4*$D$47))))</f>
        <v>0</v>
      </c>
      <c r="D47" s="559">
        <f>IF(A6="PARA ASALARIADOS CON CATEGORÍA DE EMPLEADOS",IF(APPensiones!J48&gt;0,APPensiones!J48,APPensiones!J49),IF(APPensiones!J48&gt;0,APPensiones!J48,APPensiones!J49)+12%)</f>
        <v>0.16</v>
      </c>
      <c r="E47" s="331">
        <f>IF($A$2&lt;&gt;"PARA ASALARIADOS CON CATEGORÍA DE EMPLEADOS",IF(E48&lt;0,0,-IF($D$38*0.4&gt;#REF!,#REF!*$D$47,$D$38*0.4*$D$47)),IF(E48&lt;0,0,-IF($D$38*0.4&gt;#REF!,#REF!*$D$47,$D$38*0.4*$D$47)))</f>
        <v>0</v>
      </c>
      <c r="G47" s="501"/>
    </row>
    <row r="48" spans="1:7" x14ac:dyDescent="0.25">
      <c r="A48" s="285" t="s">
        <v>118</v>
      </c>
      <c r="B48" s="489"/>
      <c r="C48" s="214">
        <f>IF(A2="PARA TRABAJADORES INDEPENDIENTES SIN CATEGORÍA DE EMPLEADOS",0,E48)</f>
        <v>-9.9999999999999996E-24</v>
      </c>
      <c r="D48" s="559"/>
      <c r="E48" s="578">
        <v>-9.9999999999999996E-24</v>
      </c>
      <c r="G48" s="501"/>
    </row>
    <row r="49" spans="1:8" x14ac:dyDescent="0.25">
      <c r="A49" s="285" t="s">
        <v>121</v>
      </c>
      <c r="B49" s="489"/>
      <c r="C49" s="330">
        <f>IF(A2="PARA TRABAJADORES INDEPENDIENTES SIN CATEGORÍA DE EMPLEADOS",0,IF($A$2="PARA ASALARIADOS CON CATEGORÍA DE EMPLEADOS",0,IF(C50&lt;0,0,-IF($D$38*0.4&gt;#REF!,#REF!*$D$49,$D$38*0.4*$D$49))))</f>
        <v>0</v>
      </c>
      <c r="D49" s="682">
        <v>5.2199999999999998E-3</v>
      </c>
      <c r="E49" s="331">
        <f>IF($A$2="PARA ASALARIADOS CON CATEGORÍA DE EMPLEADOS",0,IF(E50&lt;0,0,-IF($D$38*0.4&gt;#REF!,#REF!*$D$49,$D$38*0.4*$D$49)))</f>
        <v>0</v>
      </c>
    </row>
    <row r="50" spans="1:8" ht="15.75" thickBot="1" x14ac:dyDescent="0.3">
      <c r="A50" s="285" t="s">
        <v>119</v>
      </c>
      <c r="B50" s="489"/>
      <c r="C50" s="214">
        <f>IF(A2="PARA TRABAJADORES INDEPENDIENTES SIN CATEGORÍA DE EMPLEADOS",0,E50)</f>
        <v>-0.1</v>
      </c>
      <c r="D50" s="559"/>
      <c r="E50" s="683">
        <v>-0.1</v>
      </c>
    </row>
    <row r="51" spans="1:8" x14ac:dyDescent="0.25">
      <c r="A51" s="642" t="s">
        <v>240</v>
      </c>
      <c r="B51" s="643"/>
      <c r="C51" s="644"/>
      <c r="D51" s="645"/>
      <c r="E51" s="646">
        <f>SUM(E44:E50)</f>
        <v>-0.1</v>
      </c>
      <c r="G51" s="501"/>
      <c r="H51" s="501"/>
    </row>
    <row r="52" spans="1:8" s="610" customFormat="1" x14ac:dyDescent="0.25">
      <c r="A52" s="602"/>
      <c r="B52" s="603"/>
      <c r="C52" s="604"/>
      <c r="D52" s="605"/>
      <c r="E52" s="606"/>
      <c r="G52" s="322"/>
      <c r="H52" s="322"/>
    </row>
    <row r="53" spans="1:8" x14ac:dyDescent="0.25">
      <c r="A53" s="554" t="s">
        <v>209</v>
      </c>
      <c r="B53" s="489"/>
      <c r="C53" s="330"/>
      <c r="D53" s="559"/>
      <c r="E53" s="529"/>
      <c r="G53" s="501"/>
      <c r="H53" s="501"/>
    </row>
    <row r="54" spans="1:8" x14ac:dyDescent="0.25">
      <c r="A54" s="285" t="s">
        <v>163</v>
      </c>
      <c r="B54" s="489"/>
      <c r="C54" s="330">
        <f>IF(A2="PARA TRABAJADORES INDEPENDIENTES SIN CATEGORÍA DE EMPLEADOS",0,IF(D37&gt;0,IF(C56&lt;0,0,-IF($D$37&gt;#REF!,#REF!*$D$54,$D$37*$D$54)),0))</f>
        <v>0</v>
      </c>
      <c r="D54" s="559">
        <v>0.04</v>
      </c>
      <c r="E54" s="331">
        <f>IF(D41&gt;0,IF(E56&lt;0,0,-SUM(D24:D30)/12*D54),0)</f>
        <v>0</v>
      </c>
      <c r="G54" s="501"/>
    </row>
    <row r="55" spans="1:8" x14ac:dyDescent="0.25">
      <c r="A55" s="285" t="s">
        <v>164</v>
      </c>
      <c r="B55" s="489"/>
      <c r="C55" s="330">
        <f>IF(A2="PARA TRABAJADORES INDEPENDIENTES SIN CATEGORÍA DE EMPLEADOS",0,IF($A$2&lt;&gt;"PARA ASALARIADOS CON CATEGORÍA DE EMPLEADOS",IF(C56&lt;0,0,-IF($D$38*0.4&gt;#REF!,#REF!*$D$55,$D$38*0.4*$D$55)),IF(C56&lt;0,0,-IF($D$38*0.4&gt;#REF!,#REF!*$D$55,$D$38*0.4*$D$55))))</f>
        <v>0</v>
      </c>
      <c r="D55" s="559">
        <v>0.125</v>
      </c>
      <c r="E55" s="331">
        <f>IF($A$2&lt;&gt;"PARA ASALARIADOS CON CATEGORÍA DE EMPLEADOS",IF(E56&lt;0,0,-IF($D$38*0.4&gt;#REF!,#REF!*$D$55,$D$38*0.4*$D$55)),IF(E56&lt;0,0,-IF($D$38*0.4&gt;#REF!,#REF!*$D$55,$D$38*0.4*$D$55)))</f>
        <v>0</v>
      </c>
      <c r="G55" s="501"/>
    </row>
    <row r="56" spans="1:8" ht="15.75" thickBot="1" x14ac:dyDescent="0.3">
      <c r="A56" s="285" t="s">
        <v>120</v>
      </c>
      <c r="B56" s="489"/>
      <c r="C56" s="214">
        <f>IF(A2="PARA TRABAJADORES INDEPENDIENTES SIN CATEGORÍA DE EMPLEADOS",0,E56)</f>
        <v>-9.9999999999999998E-17</v>
      </c>
      <c r="D56" s="559"/>
      <c r="E56" s="578">
        <v>-9.9999999999999998E-17</v>
      </c>
    </row>
    <row r="57" spans="1:8" x14ac:dyDescent="0.25">
      <c r="A57" s="642" t="s">
        <v>180</v>
      </c>
      <c r="B57" s="643"/>
      <c r="C57" s="644">
        <f>SUM(C44:C56)</f>
        <v>-0.1000000000000001</v>
      </c>
      <c r="D57" s="645"/>
      <c r="E57" s="646">
        <f>IF(SUM(E51:E56)&lt;0,0,SUM(E51:E56))</f>
        <v>0</v>
      </c>
    </row>
    <row r="58" spans="1:8" ht="15.75" thickBot="1" x14ac:dyDescent="0.3">
      <c r="A58" s="556" t="s">
        <v>18</v>
      </c>
      <c r="B58" s="558"/>
      <c r="C58" s="504">
        <v>0</v>
      </c>
      <c r="D58" s="535">
        <v>240</v>
      </c>
      <c r="E58" s="505">
        <f>IF(A2="PARA TRABAJADORES INDEPENDIENTES SIN CATEGORÍA DE EMPLEADOS",0,-IF(E57*25%&gt;E9*D58,E9*D58,E57*25%))</f>
        <v>0</v>
      </c>
      <c r="F58" s="566"/>
    </row>
    <row r="59" spans="1:8" x14ac:dyDescent="0.25">
      <c r="A59" s="642" t="s">
        <v>10</v>
      </c>
      <c r="B59" s="643"/>
      <c r="C59" s="644">
        <f>+C57+C58</f>
        <v>-0.1000000000000001</v>
      </c>
      <c r="D59" s="645"/>
      <c r="E59" s="646">
        <f>+E57+E58</f>
        <v>0</v>
      </c>
    </row>
    <row r="60" spans="1:8" x14ac:dyDescent="0.25">
      <c r="A60" s="285" t="s">
        <v>280</v>
      </c>
      <c r="B60" s="489"/>
      <c r="C60" s="220">
        <f>+C59/$E$9</f>
        <v>-3.1388304717662231E-6</v>
      </c>
      <c r="D60" s="209"/>
      <c r="E60" s="282">
        <f>IF(A2="PARA TRABAJADORES INDEPENDIENTES SIN CATEGORÍA DE EMPLEADOS",0,+E59/$E$9)</f>
        <v>0</v>
      </c>
    </row>
    <row r="61" spans="1:8" x14ac:dyDescent="0.25">
      <c r="A61" s="557" t="s">
        <v>241</v>
      </c>
      <c r="B61" s="534"/>
      <c r="C61" s="531"/>
      <c r="D61" s="530"/>
      <c r="E61" s="532">
        <f>+'RF IMAN'!F2</f>
        <v>0</v>
      </c>
    </row>
    <row r="62" spans="1:8" ht="15.75" thickBot="1" x14ac:dyDescent="0.3">
      <c r="A62" s="562" t="s">
        <v>242</v>
      </c>
      <c r="B62" s="563"/>
      <c r="C62" s="564">
        <f>+D62*E9</f>
        <v>0</v>
      </c>
      <c r="D62" s="565"/>
      <c r="E62" s="667">
        <f>+E61*E9</f>
        <v>0</v>
      </c>
    </row>
    <row r="64" spans="1:8" x14ac:dyDescent="0.25">
      <c r="E64" s="686"/>
    </row>
    <row r="65" spans="1:8" x14ac:dyDescent="0.25">
      <c r="E65" s="687"/>
    </row>
    <row r="67" spans="1:8" s="204" customFormat="1" x14ac:dyDescent="0.25">
      <c r="A67" s="154"/>
      <c r="B67" s="154"/>
      <c r="C67" s="154"/>
      <c r="D67" s="154"/>
      <c r="E67" s="154"/>
      <c r="F67" s="154"/>
      <c r="G67" s="154"/>
      <c r="H67" s="154"/>
    </row>
    <row r="68" spans="1:8" s="204" customFormat="1" x14ac:dyDescent="0.25">
      <c r="A68" s="154"/>
      <c r="B68" s="154"/>
      <c r="C68" s="154"/>
      <c r="D68" s="154"/>
      <c r="E68" s="154"/>
      <c r="F68" s="154"/>
      <c r="G68" s="154"/>
      <c r="H68" s="154"/>
    </row>
    <row r="69" spans="1:8" s="204" customFormat="1" x14ac:dyDescent="0.25">
      <c r="A69" s="154"/>
      <c r="B69" s="154"/>
      <c r="C69" s="154"/>
      <c r="D69" s="154"/>
      <c r="E69" s="154"/>
      <c r="F69" s="154"/>
      <c r="G69" s="154"/>
      <c r="H69" s="154"/>
    </row>
    <row r="70" spans="1:8" s="204" customFormat="1" x14ac:dyDescent="0.25">
      <c r="A70" s="154"/>
      <c r="B70" s="154"/>
      <c r="C70" s="154"/>
      <c r="D70" s="154"/>
      <c r="E70" s="154"/>
      <c r="F70" s="154"/>
      <c r="G70" s="154"/>
      <c r="H70" s="154"/>
    </row>
  </sheetData>
  <sheetProtection password="941B" sheet="1" objects="1" scenarios="1"/>
  <mergeCells count="3">
    <mergeCell ref="A1:E1"/>
    <mergeCell ref="A2:E2"/>
    <mergeCell ref="A42:E42"/>
  </mergeCells>
  <conditionalFormatting sqref="F58">
    <cfRule type="cellIs" dxfId="59" priority="4" stopIfTrue="1" operator="equal">
      <formula>"ERROR"</formula>
    </cfRule>
    <cfRule type="cellIs" dxfId="58" priority="5" stopIfTrue="1" operator="equal">
      <formula>"OK"</formula>
    </cfRule>
  </conditionalFormatting>
  <conditionalFormatting sqref="A42:E42">
    <cfRule type="cellIs" dxfId="57" priority="1" stopIfTrue="1" operator="equal">
      <formula>"ATENCIÓN: EL CONTRIBUYENTE ES INDEPENDIENTE CON CATEGORÍA DE EMPLEADO Y USTED ELIGIÓ A UN ASALARIADO CON CATEGORÍA DE EMPLEADO"</formula>
    </cfRule>
    <cfRule type="cellIs" dxfId="56" priority="2" stopIfTrue="1" operator="equal">
      <formula>"ATENCIÓN: ELIJA LA OPCIÓN ADECUADA SEGÚN EL MONTO DE LOS INGRESOS"</formula>
    </cfRule>
  </conditionalFormatting>
  <dataValidations count="4">
    <dataValidation type="list" allowBlank="1" showInputMessage="1" showErrorMessage="1" sqref="E8">
      <formula1>MES</formula1>
    </dataValidation>
    <dataValidation type="list" allowBlank="1" showInputMessage="1" showErrorMessage="1" sqref="B37">
      <formula1>#REF!</formula1>
    </dataValidation>
    <dataValidation type="list" allowBlank="1" showInputMessage="1" showErrorMessage="1" sqref="D49">
      <formula1>ARL</formula1>
    </dataValidation>
    <dataValidation type="list" allowBlank="1" showInputMessage="1" showErrorMessage="1" sqref="C6">
      <formula1>#REF!</formula1>
    </dataValidation>
  </dataValidations>
  <hyperlinks>
    <hyperlink ref="B5" r:id="rId1"/>
    <hyperlink ref="B6" r:id="rId2"/>
  </hyperlinks>
  <pageMargins left="1.1023622047244095" right="0.70866141732283472" top="0.74803149606299213" bottom="0.55118110236220474" header="0.31496062992125984" footer="0.31496062992125984"/>
  <pageSetup scale="95" orientation="landscape" r:id="rId3"/>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84"/>
  <sheetViews>
    <sheetView showGridLines="0" topLeftCell="A43" zoomScale="110" zoomScaleNormal="110" workbookViewId="0">
      <selection activeCell="D34" sqref="D34"/>
    </sheetView>
  </sheetViews>
  <sheetFormatPr baseColWidth="10" defaultColWidth="11.5703125" defaultRowHeight="15" x14ac:dyDescent="0.25"/>
  <cols>
    <col min="1" max="1" width="77" style="154" customWidth="1"/>
    <col min="2" max="2" width="11.28515625" style="154" customWidth="1"/>
    <col min="3" max="3" width="23" style="154" hidden="1" customWidth="1"/>
    <col min="4" max="4" width="16.85546875" style="154" customWidth="1"/>
    <col min="5" max="5" width="16" style="154" customWidth="1"/>
    <col min="6" max="7" width="15.140625" style="154" hidden="1" customWidth="1"/>
    <col min="8" max="8" width="7.85546875" style="154" hidden="1" customWidth="1"/>
    <col min="9" max="9" width="13.7109375" style="154" hidden="1" customWidth="1"/>
    <col min="10" max="10" width="7.85546875" style="154" hidden="1" customWidth="1"/>
    <col min="11" max="11" width="13.7109375" style="154" hidden="1" customWidth="1"/>
    <col min="12" max="12" width="15.5703125" style="501" hidden="1" customWidth="1"/>
    <col min="13" max="13" width="13.140625" style="204" hidden="1" customWidth="1"/>
    <col min="14" max="14" width="15.28515625" style="154" hidden="1" customWidth="1"/>
    <col min="15" max="15" width="7" style="154" hidden="1" customWidth="1"/>
    <col min="16" max="16" width="15.28515625" style="154" hidden="1" customWidth="1"/>
    <col min="17" max="17" width="15.28515625" style="154" customWidth="1"/>
    <col min="18" max="16384" width="11.5703125" style="154"/>
  </cols>
  <sheetData>
    <row r="1" spans="1:17" ht="30.75" customHeight="1" x14ac:dyDescent="0.25">
      <c r="A1" s="1026" t="s">
        <v>212</v>
      </c>
      <c r="B1" s="1027"/>
      <c r="C1" s="1027"/>
      <c r="D1" s="1027"/>
      <c r="E1" s="1027"/>
      <c r="F1" s="1027"/>
      <c r="G1" s="1027"/>
      <c r="H1" s="1027"/>
      <c r="I1" s="1027"/>
      <c r="J1" s="1027"/>
      <c r="K1" s="1032"/>
      <c r="M1" s="203"/>
    </row>
    <row r="2" spans="1:17" ht="12" hidden="1" customHeight="1" x14ac:dyDescent="0.25">
      <c r="A2" s="1028" t="s">
        <v>123</v>
      </c>
      <c r="B2" s="1029"/>
      <c r="C2" s="1029"/>
      <c r="D2" s="1029"/>
      <c r="E2" s="1029"/>
      <c r="F2" s="1029"/>
      <c r="G2" s="1029"/>
      <c r="H2" s="1029"/>
      <c r="I2" s="1029"/>
      <c r="J2" s="1029"/>
      <c r="K2" s="1033"/>
    </row>
    <row r="3" spans="1:17" s="570" customFormat="1" ht="15.75" customHeight="1" x14ac:dyDescent="0.25">
      <c r="A3" s="658"/>
      <c r="B3" s="658" t="s">
        <v>232</v>
      </c>
      <c r="C3" s="660"/>
      <c r="D3" s="660"/>
      <c r="E3" s="660"/>
      <c r="F3" s="581"/>
      <c r="G3" s="581"/>
      <c r="H3" s="581"/>
      <c r="I3" s="581"/>
      <c r="J3" s="581"/>
      <c r="K3" s="582"/>
      <c r="L3" s="568"/>
      <c r="M3" s="569"/>
    </row>
    <row r="4" spans="1:17" s="570" customFormat="1" ht="15.75" customHeight="1" x14ac:dyDescent="0.25">
      <c r="A4" s="658"/>
      <c r="B4" s="658" t="s">
        <v>233</v>
      </c>
      <c r="C4" s="660"/>
      <c r="D4" s="660"/>
      <c r="E4" s="660"/>
      <c r="F4" s="581"/>
      <c r="G4" s="581"/>
      <c r="H4" s="581"/>
      <c r="I4" s="581"/>
      <c r="J4" s="581"/>
      <c r="K4" s="582"/>
      <c r="L4" s="568"/>
      <c r="M4" s="569"/>
    </row>
    <row r="5" spans="1:17" s="570" customFormat="1" ht="15.75" customHeight="1" x14ac:dyDescent="0.25">
      <c r="A5" s="659"/>
      <c r="B5" s="658" t="s">
        <v>283</v>
      </c>
      <c r="C5" s="660"/>
      <c r="D5" s="660"/>
      <c r="E5" s="660"/>
      <c r="F5" s="581"/>
      <c r="G5" s="581"/>
      <c r="H5" s="581"/>
      <c r="I5" s="581"/>
      <c r="J5" s="581"/>
      <c r="K5" s="582"/>
      <c r="L5" s="501" t="s">
        <v>15</v>
      </c>
      <c r="M5" s="204" t="s">
        <v>98</v>
      </c>
    </row>
    <row r="6" spans="1:17" s="499" customFormat="1" ht="15.75" thickBot="1" x14ac:dyDescent="0.3">
      <c r="A6" s="659"/>
      <c r="B6" s="658" t="s">
        <v>284</v>
      </c>
      <c r="C6" s="661">
        <v>0.1</v>
      </c>
      <c r="D6" s="662"/>
      <c r="E6" s="662"/>
      <c r="F6" s="553"/>
      <c r="G6" s="553"/>
      <c r="H6" s="553"/>
      <c r="I6" s="553"/>
      <c r="J6" s="553"/>
      <c r="K6" s="571"/>
      <c r="L6" s="321" t="s">
        <v>83</v>
      </c>
      <c r="M6" s="572" t="s">
        <v>99</v>
      </c>
    </row>
    <row r="7" spans="1:17" ht="15.75" hidden="1" thickBot="1" x14ac:dyDescent="0.3">
      <c r="A7" s="596" t="s">
        <v>220</v>
      </c>
      <c r="B7" s="515"/>
      <c r="C7" s="551"/>
      <c r="D7" s="516"/>
      <c r="E7" s="517"/>
      <c r="F7" s="539"/>
      <c r="G7" s="539"/>
      <c r="H7" s="489"/>
      <c r="I7" s="489"/>
      <c r="J7" s="489"/>
      <c r="K7" s="550"/>
      <c r="L7" s="501" t="s">
        <v>123</v>
      </c>
    </row>
    <row r="8" spans="1:17" hidden="1" x14ac:dyDescent="0.25">
      <c r="A8" s="513"/>
      <c r="B8" s="513"/>
      <c r="C8" s="153"/>
      <c r="D8" s="513" t="s">
        <v>202</v>
      </c>
      <c r="E8" s="633">
        <v>29753</v>
      </c>
      <c r="F8" s="489"/>
      <c r="G8" s="489"/>
      <c r="H8" s="489"/>
      <c r="I8" s="489"/>
      <c r="J8" s="489"/>
      <c r="K8" s="550"/>
      <c r="L8" s="501" t="s">
        <v>122</v>
      </c>
    </row>
    <row r="9" spans="1:17" ht="15.75" hidden="1" thickBot="1" x14ac:dyDescent="0.3">
      <c r="A9" s="634"/>
      <c r="B9" s="634"/>
      <c r="C9" s="489"/>
      <c r="D9" s="634" t="s">
        <v>203</v>
      </c>
      <c r="E9" s="635">
        <v>689454</v>
      </c>
      <c r="F9" s="489"/>
      <c r="G9" s="489"/>
      <c r="H9" s="489"/>
      <c r="I9" s="489"/>
      <c r="J9" s="489"/>
      <c r="K9" s="550"/>
      <c r="L9" s="501" t="s">
        <v>124</v>
      </c>
    </row>
    <row r="10" spans="1:17" s="607" customFormat="1" ht="15.75" thickBot="1" x14ac:dyDescent="0.3">
      <c r="A10" s="636"/>
      <c r="B10" s="636"/>
      <c r="C10" s="637"/>
      <c r="D10" s="636"/>
      <c r="E10" s="638"/>
      <c r="L10" s="309"/>
      <c r="M10" s="310"/>
    </row>
    <row r="11" spans="1:17" x14ac:dyDescent="0.25">
      <c r="A11" s="611" t="s">
        <v>224</v>
      </c>
      <c r="B11" s="612"/>
      <c r="C11" s="613"/>
      <c r="D11" s="614"/>
      <c r="E11" s="615"/>
      <c r="F11" s="539"/>
      <c r="G11" s="539"/>
      <c r="H11" s="489"/>
      <c r="I11" s="489"/>
      <c r="J11" s="489"/>
      <c r="K11" s="550"/>
      <c r="L11" s="501" t="s">
        <v>123</v>
      </c>
      <c r="Q11" s="501"/>
    </row>
    <row r="12" spans="1:17" s="625" customFormat="1" ht="11.25" x14ac:dyDescent="0.2">
      <c r="A12" s="616" t="s">
        <v>225</v>
      </c>
      <c r="B12" s="617"/>
      <c r="C12" s="618"/>
      <c r="D12" s="619"/>
      <c r="E12" s="619" t="s">
        <v>226</v>
      </c>
      <c r="F12" s="620"/>
      <c r="G12" s="620"/>
      <c r="H12" s="621"/>
      <c r="I12" s="621"/>
      <c r="J12" s="621"/>
      <c r="K12" s="622"/>
      <c r="L12" s="623"/>
      <c r="M12" s="624"/>
      <c r="Q12" s="623"/>
    </row>
    <row r="13" spans="1:17" x14ac:dyDescent="0.25">
      <c r="A13" s="653">
        <f>+'Ret.Fte.Sistema IMAN'!A14</f>
        <v>0</v>
      </c>
      <c r="B13" s="654"/>
      <c r="C13" s="655"/>
      <c r="D13" s="656"/>
      <c r="E13" s="652">
        <f>+'Ret.Fte.Sistema IMAN'!E14</f>
        <v>0</v>
      </c>
      <c r="F13" s="583"/>
      <c r="G13" s="583"/>
      <c r="H13" s="489"/>
      <c r="I13" s="489"/>
      <c r="J13" s="489"/>
      <c r="K13" s="550"/>
      <c r="Q13" s="501"/>
    </row>
    <row r="14" spans="1:17" x14ac:dyDescent="0.25">
      <c r="A14" s="626" t="s">
        <v>227</v>
      </c>
      <c r="B14" s="627"/>
      <c r="C14" s="628"/>
      <c r="D14" s="629"/>
      <c r="E14" s="630"/>
      <c r="F14" s="539"/>
      <c r="G14" s="539"/>
      <c r="H14" s="489"/>
      <c r="I14" s="489"/>
      <c r="J14" s="489"/>
      <c r="K14" s="550"/>
      <c r="L14" s="501" t="s">
        <v>123</v>
      </c>
      <c r="Q14" s="501"/>
    </row>
    <row r="15" spans="1:17" s="625" customFormat="1" ht="11.25" x14ac:dyDescent="0.2">
      <c r="A15" s="616" t="s">
        <v>228</v>
      </c>
      <c r="B15" s="617"/>
      <c r="C15" s="618"/>
      <c r="D15" s="619"/>
      <c r="E15" s="619" t="s">
        <v>230</v>
      </c>
      <c r="F15" s="620"/>
      <c r="G15" s="620"/>
      <c r="H15" s="621"/>
      <c r="I15" s="621"/>
      <c r="J15" s="621"/>
      <c r="K15" s="622"/>
      <c r="L15" s="623"/>
      <c r="M15" s="624"/>
      <c r="Q15" s="623"/>
    </row>
    <row r="16" spans="1:17" x14ac:dyDescent="0.25">
      <c r="A16" s="653">
        <f>+'Ret.Fte.Sistema IMAN'!A17</f>
        <v>0</v>
      </c>
      <c r="B16" s="654"/>
      <c r="C16" s="655"/>
      <c r="D16" s="656"/>
      <c r="E16" s="652">
        <f>+'Ret.Fte.Sistema IMAN'!E17</f>
        <v>0</v>
      </c>
      <c r="F16" s="514"/>
      <c r="G16" s="514"/>
      <c r="H16" s="489"/>
      <c r="I16" s="489"/>
      <c r="J16" s="489"/>
      <c r="K16" s="550"/>
      <c r="Q16" s="501"/>
    </row>
    <row r="17" spans="1:17" ht="15.75" thickBot="1" x14ac:dyDescent="0.3">
      <c r="A17" s="640"/>
      <c r="B17" s="267"/>
      <c r="C17" s="267"/>
      <c r="D17" s="641"/>
      <c r="E17" s="585"/>
      <c r="F17" s="585"/>
      <c r="G17" s="585"/>
      <c r="H17" s="489"/>
      <c r="I17" s="489"/>
      <c r="J17" s="489"/>
      <c r="K17" s="550"/>
    </row>
    <row r="18" spans="1:17" ht="15.75" thickBot="1" x14ac:dyDescent="0.3">
      <c r="A18" s="611" t="s">
        <v>229</v>
      </c>
      <c r="B18" s="612"/>
      <c r="C18" s="613"/>
      <c r="D18" s="614"/>
      <c r="E18" s="615"/>
      <c r="F18" s="539"/>
      <c r="G18" s="539"/>
      <c r="H18" s="489"/>
      <c r="I18" s="489"/>
      <c r="J18" s="489"/>
      <c r="K18" s="550"/>
      <c r="Q18" s="501"/>
    </row>
    <row r="19" spans="1:17" x14ac:dyDescent="0.25">
      <c r="A19" s="513"/>
      <c r="B19" s="513" t="s">
        <v>215</v>
      </c>
      <c r="C19" s="520"/>
      <c r="D19" s="732">
        <v>42370</v>
      </c>
      <c r="E19" s="733">
        <v>42400</v>
      </c>
      <c r="F19" s="583"/>
      <c r="G19" s="583"/>
      <c r="H19" s="489"/>
      <c r="I19" s="489"/>
      <c r="J19" s="489"/>
      <c r="K19" s="550"/>
    </row>
    <row r="20" spans="1:17" ht="15.75" thickBot="1" x14ac:dyDescent="0.3">
      <c r="A20" s="518"/>
      <c r="B20" s="518" t="s">
        <v>216</v>
      </c>
      <c r="C20" s="512"/>
      <c r="D20" s="584">
        <f>+E20/30</f>
        <v>1.0333333333333334</v>
      </c>
      <c r="E20" s="519">
        <f>+E19-D19+1</f>
        <v>31</v>
      </c>
      <c r="F20" s="514"/>
      <c r="G20" s="514"/>
      <c r="H20" s="489"/>
      <c r="I20" s="489"/>
      <c r="J20" s="489"/>
      <c r="K20" s="550"/>
    </row>
    <row r="21" spans="1:17" s="607" customFormat="1" x14ac:dyDescent="0.25">
      <c r="A21" s="631"/>
      <c r="B21" s="631"/>
      <c r="D21" s="639"/>
      <c r="E21" s="632"/>
      <c r="F21" s="632"/>
      <c r="G21" s="632"/>
      <c r="L21" s="309"/>
      <c r="M21" s="310"/>
    </row>
    <row r="22" spans="1:17" x14ac:dyDescent="0.25">
      <c r="A22" s="537" t="s">
        <v>219</v>
      </c>
      <c r="B22" s="538"/>
      <c r="C22" s="552"/>
      <c r="D22" s="511" t="s">
        <v>213</v>
      </c>
      <c r="E22" s="586" t="s">
        <v>214</v>
      </c>
      <c r="F22" s="587"/>
      <c r="G22" s="587"/>
      <c r="H22" s="489"/>
      <c r="I22" s="489"/>
      <c r="J22" s="489"/>
      <c r="K22" s="550"/>
    </row>
    <row r="23" spans="1:17" x14ac:dyDescent="0.25">
      <c r="A23" s="507" t="s">
        <v>190</v>
      </c>
      <c r="B23" s="510"/>
      <c r="C23" s="489"/>
      <c r="D23" s="575">
        <v>10333333</v>
      </c>
      <c r="E23" s="594">
        <f t="shared" ref="E23:E34" si="0">IF(D23&gt;0,+D23/$D$36,0)</f>
        <v>0.91563379479210516</v>
      </c>
      <c r="F23" s="540"/>
      <c r="G23" s="540"/>
      <c r="H23" s="489"/>
      <c r="I23" s="489"/>
      <c r="J23" s="489"/>
      <c r="K23" s="550"/>
    </row>
    <row r="24" spans="1:17" x14ac:dyDescent="0.25">
      <c r="A24" s="507" t="s">
        <v>204</v>
      </c>
      <c r="B24" s="510"/>
      <c r="C24" s="489"/>
      <c r="D24" s="576">
        <v>0</v>
      </c>
      <c r="E24" s="594">
        <f t="shared" si="0"/>
        <v>0</v>
      </c>
      <c r="F24" s="540"/>
      <c r="G24" s="540"/>
      <c r="H24" s="489"/>
      <c r="I24" s="489"/>
      <c r="J24" s="489"/>
      <c r="K24" s="550"/>
    </row>
    <row r="25" spans="1:17" x14ac:dyDescent="0.25">
      <c r="A25" s="507" t="s">
        <v>193</v>
      </c>
      <c r="B25" s="510"/>
      <c r="C25" s="489"/>
      <c r="D25" s="576">
        <v>0</v>
      </c>
      <c r="E25" s="594">
        <f t="shared" si="0"/>
        <v>0</v>
      </c>
      <c r="F25" s="540"/>
      <c r="G25" s="540"/>
      <c r="H25" s="489"/>
      <c r="I25" s="489"/>
      <c r="J25" s="489"/>
      <c r="K25" s="550"/>
    </row>
    <row r="26" spans="1:17" x14ac:dyDescent="0.25">
      <c r="A26" s="507" t="s">
        <v>194</v>
      </c>
      <c r="B26" s="510"/>
      <c r="C26" s="489"/>
      <c r="D26" s="576">
        <v>0</v>
      </c>
      <c r="E26" s="594">
        <f t="shared" si="0"/>
        <v>0</v>
      </c>
      <c r="F26" s="540"/>
      <c r="G26" s="540"/>
      <c r="H26" s="489"/>
      <c r="I26" s="489"/>
      <c r="J26" s="489"/>
      <c r="K26" s="550"/>
    </row>
    <row r="27" spans="1:17" x14ac:dyDescent="0.25">
      <c r="A27" s="507" t="s">
        <v>195</v>
      </c>
      <c r="B27" s="510"/>
      <c r="C27" s="489"/>
      <c r="D27" s="576">
        <v>0</v>
      </c>
      <c r="E27" s="594">
        <f t="shared" si="0"/>
        <v>0</v>
      </c>
      <c r="F27" s="540"/>
      <c r="G27" s="540"/>
      <c r="H27" s="489"/>
      <c r="I27" s="489"/>
      <c r="J27" s="489"/>
      <c r="K27" s="550"/>
    </row>
    <row r="28" spans="1:17" x14ac:dyDescent="0.25">
      <c r="A28" s="507" t="s">
        <v>198</v>
      </c>
      <c r="B28" s="510"/>
      <c r="C28" s="489"/>
      <c r="D28" s="576">
        <v>0</v>
      </c>
      <c r="E28" s="594">
        <f t="shared" si="0"/>
        <v>0</v>
      </c>
      <c r="F28" s="540"/>
      <c r="G28" s="540"/>
      <c r="H28" s="489"/>
      <c r="I28" s="489"/>
      <c r="J28" s="489"/>
      <c r="K28" s="550"/>
    </row>
    <row r="29" spans="1:17" x14ac:dyDescent="0.25">
      <c r="A29" s="507" t="s">
        <v>191</v>
      </c>
      <c r="B29" s="510"/>
      <c r="C29" s="489"/>
      <c r="D29" s="576">
        <v>0</v>
      </c>
      <c r="E29" s="594">
        <f t="shared" si="0"/>
        <v>0</v>
      </c>
      <c r="F29" s="540"/>
      <c r="G29" s="540"/>
      <c r="H29" s="489"/>
      <c r="I29" s="489"/>
      <c r="J29" s="489"/>
      <c r="K29" s="550"/>
    </row>
    <row r="30" spans="1:17" x14ac:dyDescent="0.25">
      <c r="A30" s="507" t="s">
        <v>196</v>
      </c>
      <c r="B30" s="510"/>
      <c r="C30" s="489"/>
      <c r="D30" s="576">
        <v>0</v>
      </c>
      <c r="E30" s="594">
        <f t="shared" si="0"/>
        <v>0</v>
      </c>
      <c r="F30" s="540"/>
      <c r="G30" s="540"/>
      <c r="H30" s="489"/>
      <c r="I30" s="489"/>
      <c r="J30" s="489"/>
      <c r="K30" s="550"/>
    </row>
    <row r="31" spans="1:17" x14ac:dyDescent="0.25">
      <c r="A31" s="507" t="s">
        <v>197</v>
      </c>
      <c r="B31" s="510"/>
      <c r="C31" s="489"/>
      <c r="D31" s="576">
        <v>0</v>
      </c>
      <c r="E31" s="594">
        <f t="shared" si="0"/>
        <v>0</v>
      </c>
      <c r="F31" s="540"/>
      <c r="G31" s="540"/>
      <c r="H31" s="489"/>
      <c r="I31" s="489"/>
      <c r="J31" s="489"/>
      <c r="K31" s="550"/>
    </row>
    <row r="32" spans="1:17" x14ac:dyDescent="0.25">
      <c r="A32" s="507" t="s">
        <v>199</v>
      </c>
      <c r="B32" s="510"/>
      <c r="C32" s="489"/>
      <c r="D32" s="576">
        <v>0</v>
      </c>
      <c r="E32" s="594">
        <f t="shared" si="0"/>
        <v>0</v>
      </c>
      <c r="F32" s="540"/>
      <c r="G32" s="540"/>
      <c r="H32" s="489"/>
      <c r="I32" s="489"/>
      <c r="J32" s="489"/>
      <c r="K32" s="550"/>
    </row>
    <row r="33" spans="1:13" x14ac:dyDescent="0.25">
      <c r="A33" s="507" t="s">
        <v>192</v>
      </c>
      <c r="B33" s="510"/>
      <c r="C33" s="489"/>
      <c r="D33" s="576">
        <v>0</v>
      </c>
      <c r="E33" s="594">
        <f t="shared" si="0"/>
        <v>0</v>
      </c>
      <c r="F33" s="540"/>
      <c r="G33" s="540"/>
      <c r="H33" s="489"/>
      <c r="I33" s="489"/>
      <c r="J33" s="489"/>
      <c r="K33" s="550"/>
    </row>
    <row r="34" spans="1:13" x14ac:dyDescent="0.25">
      <c r="A34" s="507" t="s">
        <v>200</v>
      </c>
      <c r="B34" s="510"/>
      <c r="C34" s="489"/>
      <c r="D34" s="576">
        <v>952110</v>
      </c>
      <c r="E34" s="594">
        <f t="shared" si="0"/>
        <v>8.4366205207894812E-2</v>
      </c>
      <c r="F34" s="540"/>
      <c r="G34" s="540"/>
      <c r="H34" s="489"/>
      <c r="I34" s="489"/>
      <c r="J34" s="489"/>
      <c r="K34" s="550"/>
    </row>
    <row r="35" spans="1:13" x14ac:dyDescent="0.25">
      <c r="A35" s="508" t="s">
        <v>201</v>
      </c>
      <c r="B35" s="509"/>
      <c r="C35" s="489"/>
      <c r="D35" s="588">
        <f>-D34</f>
        <v>-952110</v>
      </c>
      <c r="E35" s="595"/>
      <c r="F35" s="541"/>
      <c r="G35" s="541"/>
      <c r="H35" s="489"/>
      <c r="I35" s="489"/>
      <c r="J35" s="489"/>
      <c r="K35" s="550"/>
    </row>
    <row r="36" spans="1:13" x14ac:dyDescent="0.25">
      <c r="A36" s="500" t="s">
        <v>210</v>
      </c>
      <c r="B36" s="593" t="s">
        <v>99</v>
      </c>
      <c r="C36" s="489"/>
      <c r="D36" s="589">
        <f>SUM(D23:D34)</f>
        <v>11285443</v>
      </c>
      <c r="E36" s="422">
        <f>SUM(E23:E35)</f>
        <v>1</v>
      </c>
      <c r="F36" s="542"/>
      <c r="G36" s="542"/>
      <c r="H36" s="489"/>
      <c r="I36" s="489"/>
      <c r="J36" s="489"/>
      <c r="K36" s="550"/>
    </row>
    <row r="37" spans="1:13" hidden="1" x14ac:dyDescent="0.25">
      <c r="A37" s="205" t="s">
        <v>134</v>
      </c>
      <c r="B37" s="206" t="str">
        <f>+B36</f>
        <v>ANUAL</v>
      </c>
      <c r="C37" s="489"/>
      <c r="D37" s="590">
        <v>0</v>
      </c>
      <c r="E37" s="422">
        <f>IF(D37&gt;0,+D37/$D$40,0)</f>
        <v>0</v>
      </c>
      <c r="F37" s="542"/>
      <c r="G37" s="542"/>
      <c r="H37" s="489"/>
      <c r="I37" s="489"/>
      <c r="J37" s="489"/>
      <c r="K37" s="550"/>
    </row>
    <row r="38" spans="1:13" hidden="1" x14ac:dyDescent="0.25">
      <c r="A38" s="205" t="s">
        <v>140</v>
      </c>
      <c r="B38" s="206" t="str">
        <f>+B37</f>
        <v>ANUAL</v>
      </c>
      <c r="C38" s="489"/>
      <c r="D38" s="590">
        <v>0</v>
      </c>
      <c r="E38" s="422">
        <f>IF(D38&gt;0,+D38/$D$40,0)</f>
        <v>0</v>
      </c>
      <c r="F38" s="542"/>
      <c r="G38" s="542"/>
      <c r="H38" s="489"/>
      <c r="I38" s="489"/>
      <c r="J38" s="489"/>
      <c r="K38" s="550"/>
    </row>
    <row r="39" spans="1:13" hidden="1" x14ac:dyDescent="0.25">
      <c r="A39" s="205" t="s">
        <v>141</v>
      </c>
      <c r="B39" s="206" t="str">
        <f>+B38</f>
        <v>ANUAL</v>
      </c>
      <c r="C39" s="489"/>
      <c r="D39" s="590">
        <v>0</v>
      </c>
      <c r="E39" s="422">
        <f>IF(D39&gt;0,+D39/$D$40,0)</f>
        <v>0</v>
      </c>
      <c r="F39" s="542"/>
      <c r="G39" s="542"/>
      <c r="H39" s="489"/>
      <c r="I39" s="489"/>
      <c r="J39" s="489"/>
      <c r="K39" s="550"/>
    </row>
    <row r="40" spans="1:13" ht="15.75" thickBot="1" x14ac:dyDescent="0.3">
      <c r="A40" s="328" t="s">
        <v>211</v>
      </c>
      <c r="B40" s="329" t="str">
        <f>+B39</f>
        <v>ANUAL</v>
      </c>
      <c r="C40" s="489"/>
      <c r="D40" s="423">
        <f>SUM(D23:D35)</f>
        <v>10333333</v>
      </c>
      <c r="E40" s="424">
        <f>SUM(E23:E33)</f>
        <v>0.91563379479210516</v>
      </c>
      <c r="F40" s="543"/>
      <c r="G40" s="543"/>
      <c r="H40" s="489"/>
      <c r="I40" s="489"/>
      <c r="J40" s="489"/>
      <c r="K40" s="550"/>
    </row>
    <row r="41" spans="1:13" ht="15.75" hidden="1" thickBot="1" x14ac:dyDescent="0.3">
      <c r="A41" s="425"/>
      <c r="B41" s="334"/>
      <c r="C41" s="489"/>
      <c r="D41" s="426" t="s">
        <v>135</v>
      </c>
      <c r="E41" s="489"/>
      <c r="F41" s="489"/>
      <c r="G41" s="489"/>
      <c r="H41" s="489"/>
      <c r="I41" s="489"/>
      <c r="J41" s="489"/>
      <c r="K41" s="550"/>
    </row>
    <row r="42" spans="1:13" ht="15" hidden="1" customHeight="1" x14ac:dyDescent="0.25">
      <c r="A42" s="521" t="s">
        <v>147</v>
      </c>
      <c r="B42" s="522" t="str">
        <f>+B40</f>
        <v>ANUAL</v>
      </c>
      <c r="C42" s="489"/>
      <c r="D42" s="591">
        <v>0</v>
      </c>
      <c r="E42" s="489"/>
      <c r="F42" s="489"/>
      <c r="G42" s="489"/>
      <c r="H42" s="489"/>
      <c r="I42" s="489"/>
      <c r="J42" s="489"/>
      <c r="K42" s="550"/>
    </row>
    <row r="43" spans="1:13" x14ac:dyDescent="0.25">
      <c r="A43" s="523" t="s">
        <v>86</v>
      </c>
      <c r="B43" s="664" t="s">
        <v>98</v>
      </c>
      <c r="C43" s="520"/>
      <c r="D43" s="577">
        <v>0</v>
      </c>
      <c r="E43" s="489"/>
      <c r="F43" s="489"/>
      <c r="G43" s="489"/>
      <c r="H43" s="489"/>
      <c r="I43" s="489"/>
      <c r="J43" s="489"/>
      <c r="K43" s="550"/>
    </row>
    <row r="44" spans="1:13" x14ac:dyDescent="0.25">
      <c r="A44" s="205" t="s">
        <v>85</v>
      </c>
      <c r="B44" s="664" t="s">
        <v>98</v>
      </c>
      <c r="C44" s="129"/>
      <c r="D44" s="576">
        <v>750000</v>
      </c>
      <c r="E44" s="489"/>
      <c r="F44" s="489"/>
      <c r="G44" s="489"/>
      <c r="H44" s="489"/>
      <c r="I44" s="489"/>
      <c r="J44" s="489"/>
      <c r="K44" s="550"/>
      <c r="L44" s="501">
        <f>IF(L46*0.3&gt;+E8*3800,E8*3800,L46*0.3)</f>
        <v>3385632.9</v>
      </c>
    </row>
    <row r="45" spans="1:13" x14ac:dyDescent="0.25">
      <c r="A45" s="205" t="s">
        <v>102</v>
      </c>
      <c r="B45" s="664" t="s">
        <v>98</v>
      </c>
      <c r="C45" s="129"/>
      <c r="D45" s="576">
        <v>0</v>
      </c>
      <c r="E45" s="489"/>
      <c r="F45" s="489"/>
      <c r="G45" s="489"/>
      <c r="H45" s="489"/>
      <c r="I45" s="489"/>
      <c r="J45" s="489"/>
      <c r="K45" s="550"/>
      <c r="L45" s="501">
        <f>+E9*25</f>
        <v>17236350</v>
      </c>
      <c r="M45" s="219">
        <f>+L45/0.4</f>
        <v>43090875</v>
      </c>
    </row>
    <row r="46" spans="1:13" ht="15.75" thickBot="1" x14ac:dyDescent="0.3">
      <c r="A46" s="205" t="s">
        <v>84</v>
      </c>
      <c r="B46" s="664" t="str">
        <f>+B45</f>
        <v>MENSUAL</v>
      </c>
      <c r="C46" s="670"/>
      <c r="D46" s="576">
        <v>0</v>
      </c>
      <c r="E46" s="489"/>
      <c r="F46" s="489"/>
      <c r="G46" s="489"/>
      <c r="H46" s="489"/>
      <c r="I46" s="489"/>
      <c r="J46" s="489"/>
      <c r="K46" s="550"/>
      <c r="L46" s="501">
        <f>IF(B36="MENSUAL",+D36*13,D36)</f>
        <v>11285443</v>
      </c>
    </row>
    <row r="47" spans="1:13" ht="15" hidden="1" customHeight="1" thickBot="1" x14ac:dyDescent="0.3">
      <c r="A47" s="1034" t="e">
        <f>IF(L47=TRUE,"ATENCIÓN: EL CONTRIBUYENTE TIENE LA CATEGORÍA DE EMPLEADO Y USTED ELIGIÓ A UN INDEPENDIENTE SIN CATEGORÍA DE EMPLEADO","")</f>
        <v>#REF!</v>
      </c>
      <c r="B47" s="1035"/>
      <c r="C47" s="1035"/>
      <c r="D47" s="1035"/>
      <c r="E47" s="1035"/>
      <c r="F47" s="1035"/>
      <c r="G47" s="1035"/>
      <c r="H47" s="1035"/>
      <c r="I47" s="1035"/>
      <c r="J47" s="1035"/>
      <c r="K47" s="1036"/>
      <c r="L47" s="501" t="e">
        <f>AND(#REF!="SI",A2="PARA TRABAJADORES INDEPENDIENTES SIN CATEGORÍA DE EMPLEADOS")</f>
        <v>#REF!</v>
      </c>
      <c r="M47" s="501" t="e">
        <f>AND(#REF!="SI",D36&gt;D37,A2="PARA ASALARIADOS CON CATEGORÍA DE EMPLEADOS")</f>
        <v>#REF!</v>
      </c>
    </row>
    <row r="48" spans="1:13" ht="15" hidden="1" customHeight="1" thickBot="1" x14ac:dyDescent="0.3">
      <c r="A48" s="1030" t="e">
        <f>IF(M47=FALSE,"ATENCIÓN: ELIJA LA OPCIÓN ADECUADA SEGÚN EL MONTO DE LOS INGRESOS","")</f>
        <v>#REF!</v>
      </c>
      <c r="B48" s="1031"/>
      <c r="C48" s="1031"/>
      <c r="D48" s="1031"/>
      <c r="E48" s="1031"/>
      <c r="F48" s="1031"/>
      <c r="G48" s="1031"/>
      <c r="H48" s="1031"/>
      <c r="I48" s="1031"/>
      <c r="J48" s="1031"/>
      <c r="K48" s="1037"/>
      <c r="M48" s="501"/>
    </row>
    <row r="49" spans="1:17" ht="72.599999999999994" customHeight="1" thickBot="1" x14ac:dyDescent="0.3">
      <c r="A49" s="560" t="s">
        <v>21</v>
      </c>
      <c r="B49" s="561"/>
      <c r="C49" s="207" t="s">
        <v>3</v>
      </c>
      <c r="D49" s="207" t="s">
        <v>218</v>
      </c>
      <c r="E49" s="498" t="s">
        <v>101</v>
      </c>
      <c r="F49" s="489"/>
      <c r="G49" s="498"/>
      <c r="H49" s="1021" t="s">
        <v>156</v>
      </c>
      <c r="I49" s="1022"/>
      <c r="J49" s="1021" t="s">
        <v>115</v>
      </c>
      <c r="K49" s="1022"/>
      <c r="L49" s="208"/>
    </row>
    <row r="50" spans="1:17" ht="15.75" hidden="1" thickBot="1" x14ac:dyDescent="0.3">
      <c r="A50" s="285"/>
      <c r="B50" s="489"/>
      <c r="C50" s="209"/>
      <c r="D50" s="209"/>
      <c r="E50" s="211"/>
      <c r="F50" s="489"/>
      <c r="G50" s="267"/>
      <c r="H50" s="210"/>
      <c r="I50" s="279"/>
      <c r="J50" s="210"/>
      <c r="K50" s="279"/>
    </row>
    <row r="51" spans="1:17" x14ac:dyDescent="0.25">
      <c r="A51" s="597" t="s">
        <v>221</v>
      </c>
      <c r="B51" s="598"/>
      <c r="C51" s="599">
        <f>IF(A2="PARA TRABAJADORES INDEPENDIENTES SIN CATEGORÍA DE EMPLEADOS",0,+D36+D37)</f>
        <v>11285443</v>
      </c>
      <c r="D51" s="600"/>
      <c r="E51" s="601">
        <f>+D40</f>
        <v>10333333</v>
      </c>
      <c r="F51" s="489"/>
      <c r="G51" s="275"/>
      <c r="H51" s="503"/>
      <c r="I51" s="331">
        <f>+E51</f>
        <v>10333333</v>
      </c>
      <c r="J51" s="212"/>
      <c r="K51" s="331">
        <f>IF(A2="PARA TRABAJADORES INDEPENDIENTES SIN CATEGORÍA DE EMPLEADOS",0,D36+D37)</f>
        <v>11285443</v>
      </c>
      <c r="L51" s="501">
        <f>+E51*D58</f>
        <v>3099999.9</v>
      </c>
      <c r="M51" s="501">
        <f>IF(L51&gt;L53,L53,L51)</f>
        <v>3099999.9</v>
      </c>
      <c r="P51" s="326"/>
    </row>
    <row r="52" spans="1:17" x14ac:dyDescent="0.25">
      <c r="A52" s="554" t="s">
        <v>205</v>
      </c>
      <c r="B52" s="489"/>
      <c r="C52" s="330"/>
      <c r="D52" s="209"/>
      <c r="E52" s="331"/>
      <c r="F52" s="489"/>
      <c r="G52" s="275"/>
      <c r="H52" s="503"/>
      <c r="I52" s="331"/>
      <c r="J52" s="503"/>
      <c r="K52" s="331"/>
      <c r="M52" s="501"/>
      <c r="P52" s="326"/>
    </row>
    <row r="53" spans="1:17" x14ac:dyDescent="0.25">
      <c r="A53" s="285" t="s">
        <v>160</v>
      </c>
      <c r="B53" s="489"/>
      <c r="C53" s="330">
        <f>IF(A2="PARA TRABAJADORES INDEPENDIENTES SIN CATEGORÍA DE EMPLEADOS",0,IF(D36&gt;0,IF(C55&lt;0,0,-IF($D$36&gt;$L$45,$L$45*$D$53,$D$36*$D$53)),0))</f>
        <v>0</v>
      </c>
      <c r="D53" s="559">
        <f>IF(A2="PARA ASALARIADOS CON CATEGORÍA DE EMPLEADOS",IF(APPensiones!J3&gt;0,APPensiones!J3,APPensiones!J4),IF(APPensiones!J3&gt;0,APPensiones!J3,APPensiones!J4))</f>
        <v>0.04</v>
      </c>
      <c r="E53" s="331">
        <f>IF(D40&gt;0,IF(E55&lt;0,0,-SUM(D23:D29)*$D$53),0)</f>
        <v>0</v>
      </c>
      <c r="F53" s="489"/>
      <c r="G53" s="275"/>
      <c r="H53" s="275"/>
      <c r="I53" s="331">
        <f>IF(D36&gt;0,IF(I55&lt;0,0,-IF($D$36&gt;$L$45,$L$45*$D$53,$D$36*$D$53)),0)</f>
        <v>0</v>
      </c>
      <c r="J53" s="275"/>
      <c r="K53" s="331">
        <f>IF($A$2="PARA TRABAJADORES INDEPENDIENTES SIN CATEGORÍA DE EMPLEADOS",0,IF(D36&gt;0,IF(K55&lt;0,0,-IF($D$36&gt;$L$45,$L$45*$D$53,$D$36*$D$53)),0))</f>
        <v>0</v>
      </c>
      <c r="L53" s="501">
        <f>+E8*3800</f>
        <v>113061400</v>
      </c>
      <c r="M53" s="501">
        <f>IF((D43+D44)&gt;M51,M51,D43+D44)</f>
        <v>750000</v>
      </c>
      <c r="P53" s="501"/>
    </row>
    <row r="54" spans="1:17" hidden="1" x14ac:dyDescent="0.25">
      <c r="A54" s="285" t="s">
        <v>161</v>
      </c>
      <c r="B54" s="489"/>
      <c r="C54" s="330">
        <f>IF(A2="PARA TRABAJADORES INDEPENDIENTES SIN CATEGORÍA DE EMPLEADOS",0,IF($A$2&lt;&gt;"PARA ASALARIADOS CON CATEGORÍA DE EMPLEADOS",IF(C55&lt;0,0,-IF($D$37*0.4&gt;$L$45,$L$45*$D$54,$D$37*0.4*$D$54)),IF(C55&lt;0,0,-IF($D$37*0.4&gt;$L$45,$L$45*$D$54,$D$37*0.4*$D$54))))</f>
        <v>0</v>
      </c>
      <c r="D54" s="559">
        <f>IF(A6="PARA ASALARIADOS CON CATEGORÍA DE EMPLEADOS",IF(APPensiones!J48&gt;0,APPensiones!J48,APPensiones!J49),IF(APPensiones!J48&gt;0,APPensiones!J48,APPensiones!J49)+12%)</f>
        <v>0.16</v>
      </c>
      <c r="E54" s="331">
        <f>IF($A$2&lt;&gt;"PARA ASALARIADOS CON CATEGORÍA DE EMPLEADOS",IF(E55&lt;0,0,-IF($D$37*0.4&gt;$L$45,$L$45*$D$54,$D$37*0.4*$D$54)),IF(E55&lt;0,0,-IF($D$37*0.4&gt;$L$45,$L$45*$D$54,$D$37*0.4*$D$54)))</f>
        <v>0</v>
      </c>
      <c r="F54" s="489"/>
      <c r="G54" s="275"/>
      <c r="H54" s="275"/>
      <c r="I54" s="331">
        <f>IF($A$2&lt;&gt;"PARA ASALARIADOS CON CATEGORÍA DE EMPLEADOS",IF(I55&lt;0,0,-IF($D$37*0.4&gt;$L$45,$L$45*$D$54,$D$37*0.4*$D$54)),IF(I55&lt;0,0,-IF($D$37*0.4&gt;$L$45,$L$45*$D$54,$D$37*0.4*$D$54)))</f>
        <v>0</v>
      </c>
      <c r="J54" s="275"/>
      <c r="K54" s="331">
        <f>IF(A2="PARA TRABAJADORES INDEPENDIENTES SIN CATEGORÍA DE EMPLEADOS",0,IF($A$2&lt;&gt;"PARA ASALARIADOS CON CATEGORÍA DE EMPLEADOS",IF(K55&lt;0,0,-IF($D$37*0.4&gt;$L$45,$L$45*$D$54,$D$37*0.4*$D$54)),IF(K55&lt;0,0,-IF($D$37*0.4&gt;$L$45,$L$45*$D$54,$D$37*0.4*$D$54))))</f>
        <v>0</v>
      </c>
      <c r="L54" s="501">
        <f>+E9*3800</f>
        <v>2619925200</v>
      </c>
      <c r="M54" s="501">
        <f>IF((D44+C47)&gt;M53,M53,D44+C47)</f>
        <v>750000</v>
      </c>
      <c r="P54" s="501"/>
    </row>
    <row r="55" spans="1:17" x14ac:dyDescent="0.25">
      <c r="A55" s="285" t="s">
        <v>118</v>
      </c>
      <c r="B55" s="489"/>
      <c r="C55" s="214">
        <f>IF(A2="PARA TRABAJADORES INDEPENDIENTES SIN CATEGORÍA DE EMPLEADOS",0,E55)</f>
        <v>-516666</v>
      </c>
      <c r="D55" s="559"/>
      <c r="E55" s="578">
        <f>-413333-103333</f>
        <v>-516666</v>
      </c>
      <c r="F55" s="489"/>
      <c r="G55" s="592"/>
      <c r="H55" s="524"/>
      <c r="I55" s="280">
        <f>+C55</f>
        <v>-516666</v>
      </c>
      <c r="J55" s="215"/>
      <c r="K55" s="280">
        <f>IF(A2="PARA TRABAJADORES INDEPENDIENTES SIN CATEGORÍA DE EMPLEADOS",0,E55)</f>
        <v>-516666</v>
      </c>
      <c r="M55" s="501"/>
      <c r="P55" s="501"/>
    </row>
    <row r="56" spans="1:17" x14ac:dyDescent="0.25">
      <c r="A56" s="285" t="s">
        <v>121</v>
      </c>
      <c r="B56" s="489"/>
      <c r="C56" s="330">
        <f>IF(A2="PARA TRABAJADORES INDEPENDIENTES SIN CATEGORÍA DE EMPLEADOS",0,IF($A$2="PARA ASALARIADOS CON CATEGORÍA DE EMPLEADOS",0,IF(C57&lt;0,0,-IF($D$37*0.4&gt;$L$45,$L$45*$D$56,$D$37*0.4*$D$56))))</f>
        <v>0</v>
      </c>
      <c r="D56" s="682">
        <v>5.2199999999999998E-3</v>
      </c>
      <c r="E56" s="331">
        <f>IF($A$2="PARA ASALARIADOS CON CATEGORÍA DE EMPLEADOS",0,IF(E57&lt;0,0,-IF($D$37*0.4&gt;$L$45,$L$45*$D$56,$D$37*0.4*$D$56)))</f>
        <v>0</v>
      </c>
      <c r="F56" s="489"/>
      <c r="G56" s="275"/>
      <c r="H56" s="275"/>
      <c r="I56" s="331">
        <f>IF($A$2="PARA ASALARIADOS CON CATEGORÍA DE EMPLEADOS",0,IF(I57&lt;0,0,-IF($D$37*0.4&gt;$L$45,$L$45*$D$56,$D$37*0.4*$D$56)))</f>
        <v>0</v>
      </c>
      <c r="J56" s="275"/>
      <c r="K56" s="331">
        <f>IF(A2="PARA TRABAJADORES INDEPENDIENTES SIN CATEGORÍA DE EMPLEADOS",0,IF($A$2="PARA ASALARIADOS CON CATEGORÍA DE EMPLEADOS",0,IF(K57&lt;0,0,-IF($D$37*0.4&gt;$L$45,$L$45*$D$56,$D$37*0.4*$D$56))))</f>
        <v>0</v>
      </c>
      <c r="M56" s="217"/>
    </row>
    <row r="57" spans="1:17" x14ac:dyDescent="0.25">
      <c r="A57" s="285" t="s">
        <v>119</v>
      </c>
      <c r="B57" s="489"/>
      <c r="C57" s="214">
        <f>IF(A2="PARA TRABAJADORES INDEPENDIENTES SIN CATEGORÍA DE EMPLEADOS",0,E57)</f>
        <v>-0.1</v>
      </c>
      <c r="D57" s="559"/>
      <c r="E57" s="683">
        <v>-0.1</v>
      </c>
      <c r="F57" s="489"/>
      <c r="G57" s="592"/>
      <c r="H57" s="524"/>
      <c r="I57" s="280">
        <f>+C57</f>
        <v>-0.1</v>
      </c>
      <c r="J57" s="215"/>
      <c r="K57" s="280">
        <f>IF(A2="PARA TRABAJADORES INDEPENDIENTES SIN CATEGORÍA DE EMPLEADOS",0,E57)</f>
        <v>-0.1</v>
      </c>
      <c r="M57" s="217"/>
    </row>
    <row r="58" spans="1:17" x14ac:dyDescent="0.25">
      <c r="A58" s="285" t="s">
        <v>100</v>
      </c>
      <c r="B58" s="489"/>
      <c r="C58" s="330">
        <v>0</v>
      </c>
      <c r="D58" s="559">
        <v>0.3</v>
      </c>
      <c r="E58" s="331">
        <f>IF($A$2="PARA ASALARIADOS CON CATEGORÍA DE EMPLEADOS",IF(-IF(-E53-E54-E55+D43+D44&gt;E51*0.3,E51*0.3+E53+E54+E55,-E53-E54-E55+D43+D44+E53+E54+E55)&lt;-L58,-L58-E53-E54-E55,-IF(-E53-E54-E55+D43+D44&gt;E51*0.3,E51*0.3+E53+E54+E55,-E53-E54-E55+D43+D44+E53+E54+E55)),IF(-IF(-E53-E54-E55+D43+D44&gt;E51*0.3*(1-#REF!),E51*0.3*(1-#REF!)+E53+E54+E55,-E53-E54-E55+D43+D44+E53+E54+E55)&lt;-L58,-L58-E53-E54-E55,-IF(-E53-E54-E55+D43+D44&gt;E51*0.3*(1-#REF!),E51*0.3*(1-#REF!)+E53+E54+E55,-E53-E54-E55+D43+D44+E53+E54+E55)))</f>
        <v>-750000</v>
      </c>
      <c r="F58" s="489"/>
      <c r="G58" s="275"/>
      <c r="H58" s="275"/>
      <c r="I58" s="331">
        <v>0</v>
      </c>
      <c r="J58" s="323"/>
      <c r="K58" s="327" t="e">
        <f>IF(IF(IF(#REF!&gt;0,0,+#REF!)&lt;-L58,-L58-K53-K54-K55,IF(#REF!&gt;0,0,+#REF!))&lt;-K51*0.3,-K51*0.3-K53-K54-K55,IF(IF(#REF!&gt;0,0,+#REF!)&lt;-L58,-L58-K53-K54-K55,IF(#REF!&gt;0,0,+#REF!)))</f>
        <v>#REF!</v>
      </c>
      <c r="L58" s="501">
        <f>+E8*3800</f>
        <v>113061400</v>
      </c>
      <c r="M58" s="217" t="e">
        <f>+K53+K58</f>
        <v>#REF!</v>
      </c>
      <c r="N58" s="154" t="e">
        <f>IF(M51&lt;IF((+K51+K53+K65+K68+K69+K70-K71)&gt;0,0,-(+K51+K53+K65+K68+K69+K70-K71)),IF(-(+K51+K53+K65+K68+K69+K70-K71)&gt;0,0,-(+K51+K53+K65+K68+K69+K70-K71)),-M51-K53)</f>
        <v>#REF!</v>
      </c>
      <c r="P58" s="501"/>
      <c r="Q58" s="501"/>
    </row>
    <row r="59" spans="1:17" x14ac:dyDescent="0.25">
      <c r="A59" s="554" t="s">
        <v>206</v>
      </c>
      <c r="B59" s="489"/>
      <c r="C59" s="330"/>
      <c r="D59" s="213"/>
      <c r="E59" s="331"/>
      <c r="F59" s="489"/>
      <c r="G59" s="275"/>
      <c r="H59" s="275"/>
      <c r="I59" s="331"/>
      <c r="J59" s="323"/>
      <c r="K59" s="502"/>
      <c r="M59" s="217"/>
      <c r="P59" s="501"/>
      <c r="Q59" s="501"/>
    </row>
    <row r="60" spans="1:17" ht="15.75" thickBot="1" x14ac:dyDescent="0.3">
      <c r="A60" s="555" t="s">
        <v>207</v>
      </c>
      <c r="B60" s="489"/>
      <c r="C60" s="330"/>
      <c r="D60" s="213"/>
      <c r="E60" s="579">
        <v>0</v>
      </c>
      <c r="F60" s="489"/>
      <c r="G60" s="592"/>
      <c r="H60" s="275"/>
      <c r="I60" s="331"/>
      <c r="J60" s="323"/>
      <c r="K60" s="502"/>
      <c r="M60" s="217"/>
      <c r="P60" s="501"/>
      <c r="Q60" s="501"/>
    </row>
    <row r="61" spans="1:17" ht="15.75" thickBot="1" x14ac:dyDescent="0.3">
      <c r="A61" s="642" t="s">
        <v>208</v>
      </c>
      <c r="B61" s="643"/>
      <c r="C61" s="644"/>
      <c r="D61" s="645"/>
      <c r="E61" s="646">
        <f>SUM(E51:E60)</f>
        <v>9066666.9000000004</v>
      </c>
      <c r="F61" s="489"/>
      <c r="G61" s="544"/>
      <c r="H61" s="525"/>
      <c r="I61" s="506"/>
      <c r="J61" s="323"/>
      <c r="K61" s="502"/>
      <c r="M61" s="217"/>
      <c r="P61" s="501"/>
      <c r="Q61" s="501"/>
    </row>
    <row r="62" spans="1:17" x14ac:dyDescent="0.25">
      <c r="A62" s="647" t="s">
        <v>223</v>
      </c>
      <c r="B62" s="648"/>
      <c r="C62" s="649"/>
      <c r="D62" s="650"/>
      <c r="E62" s="651">
        <f>IF(D20&gt;=12,E61/13,E61/D20)</f>
        <v>8774193.7741935477</v>
      </c>
      <c r="F62" s="489"/>
      <c r="G62" s="545"/>
      <c r="H62" s="275"/>
      <c r="I62" s="331"/>
      <c r="J62" s="323"/>
      <c r="K62" s="502"/>
      <c r="M62" s="217"/>
      <c r="P62" s="501"/>
      <c r="Q62" s="501"/>
    </row>
    <row r="63" spans="1:17" s="610" customFormat="1" x14ac:dyDescent="0.25">
      <c r="A63" s="602"/>
      <c r="B63" s="603"/>
      <c r="C63" s="604"/>
      <c r="D63" s="605"/>
      <c r="E63" s="606"/>
      <c r="F63" s="607"/>
      <c r="G63" s="545"/>
      <c r="H63" s="275"/>
      <c r="I63" s="331"/>
      <c r="J63" s="323"/>
      <c r="K63" s="608"/>
      <c r="L63" s="322"/>
      <c r="M63" s="609"/>
      <c r="P63" s="322"/>
      <c r="Q63" s="322"/>
    </row>
    <row r="64" spans="1:17" x14ac:dyDescent="0.25">
      <c r="A64" s="554" t="s">
        <v>209</v>
      </c>
      <c r="B64" s="489"/>
      <c r="C64" s="330"/>
      <c r="D64" s="559"/>
      <c r="E64" s="529"/>
      <c r="F64" s="489"/>
      <c r="G64" s="545"/>
      <c r="H64" s="275"/>
      <c r="I64" s="331"/>
      <c r="J64" s="323"/>
      <c r="K64" s="502"/>
      <c r="M64" s="217"/>
      <c r="P64" s="501"/>
      <c r="Q64" s="501"/>
    </row>
    <row r="65" spans="1:17" x14ac:dyDescent="0.25">
      <c r="A65" s="285" t="s">
        <v>163</v>
      </c>
      <c r="B65" s="489"/>
      <c r="C65" s="330">
        <f>IF(A2="PARA TRABAJADORES INDEPENDIENTES SIN CATEGORÍA DE EMPLEADOS",0,IF(D36&gt;0,IF(C67&lt;0,0,-IF($D$36&gt;$L$45,$L$45*$D$65,$D$36*$D$65)),0))</f>
        <v>0</v>
      </c>
      <c r="D65" s="559">
        <v>0.04</v>
      </c>
      <c r="E65" s="331">
        <f>IF(D40&gt;0,IF(E67&lt;0,0,-SUM(D23:D29)/12*D65),0)</f>
        <v>0</v>
      </c>
      <c r="F65" s="489"/>
      <c r="G65" s="275"/>
      <c r="H65" s="275"/>
      <c r="I65" s="331">
        <f>IF(D36&gt;0,IF(I67&lt;0,0,-IF($D$36&gt;$L$45,$L$45*$D$65,$D$36*$D$65)),0)</f>
        <v>0</v>
      </c>
      <c r="J65" s="275"/>
      <c r="K65" s="331">
        <f>IF($A$2="PARA TRABAJADORES INDEPENDIENTES SIN CATEGORÍA DE EMPLEADOS",0,IF(D36&gt;0,IF(K67&lt;0,0,-IF($D$36&gt;$L$45,$L$45*$D$65,$D$36*$D$65)),0))</f>
        <v>0</v>
      </c>
      <c r="M65" s="217">
        <f>+E53+E58</f>
        <v>-750000</v>
      </c>
      <c r="P65" s="501"/>
    </row>
    <row r="66" spans="1:17" x14ac:dyDescent="0.25">
      <c r="A66" s="285" t="s">
        <v>164</v>
      </c>
      <c r="B66" s="489"/>
      <c r="C66" s="330">
        <f>IF(A2="PARA TRABAJADORES INDEPENDIENTES SIN CATEGORÍA DE EMPLEADOS",0,IF($A$2&lt;&gt;"PARA ASALARIADOS CON CATEGORÍA DE EMPLEADOS",IF(C67&lt;0,0,-IF($D$37*0.4&gt;$L$45,$L$45*$D$66,$D$37*0.4*$D$66)),IF(C67&lt;0,0,-IF($D$37*0.4&gt;$L$45,$L$45*$D$66,$D$37*0.4*$D$66))))</f>
        <v>0</v>
      </c>
      <c r="D66" s="559">
        <v>0.125</v>
      </c>
      <c r="E66" s="331">
        <f>IF($A$2&lt;&gt;"PARA ASALARIADOS CON CATEGORÍA DE EMPLEADOS",IF(E67&lt;0,0,-IF($D$37*0.4&gt;$L$45,$L$45*$D$66,$D$37*0.4*$D$66)),IF(E67&lt;0,0,-IF($D$37*0.4&gt;$L$45,$L$45*$D$66,$D$37*0.4*$D$66)))</f>
        <v>0</v>
      </c>
      <c r="F66" s="489"/>
      <c r="G66" s="275"/>
      <c r="H66" s="275"/>
      <c r="I66" s="331">
        <f>IF($A$2&lt;&gt;"PARA ASALARIADOS CON CATEGORÍA DE EMPLEADOS",IF(I67&lt;0,0,-IF($D$37*0.4&gt;$L$45,$L$45*$D$66,$D$37*0.4*$D$66)),IF(I67&lt;0,0,-IF($D$37*0.4&gt;$L$45,$L$45*$D$66,$D$37*0.4*$D$66)))</f>
        <v>0</v>
      </c>
      <c r="J66" s="275"/>
      <c r="K66" s="331">
        <f>IF(A2="PARA TRABAJADORES INDEPENDIENTES SIN CATEGORÍA DE EMPLEADOS",0,IF($A$2&lt;&gt;"PARA ASALARIADOS CON CATEGORÍA DE EMPLEADOS",IF(K67&lt;0,0,-IF($D$37*0.4&gt;$L$45,$L$45*$D$66,$D$37*0.4*$D$66)),IF(K67&lt;0,0,-IF($D$37*0.4&gt;$L$45,$L$45*$D$66,$D$37*0.4*$D$66))))</f>
        <v>0</v>
      </c>
      <c r="M66" s="217">
        <f>+E54+E68</f>
        <v>0</v>
      </c>
      <c r="P66" s="501"/>
    </row>
    <row r="67" spans="1:17" x14ac:dyDescent="0.25">
      <c r="A67" s="285" t="s">
        <v>120</v>
      </c>
      <c r="B67" s="489"/>
      <c r="C67" s="214">
        <f>IF(A2="PARA TRABAJADORES INDEPENDIENTES SIN CATEGORÍA DE EMPLEADOS",0,E67)</f>
        <v>-413333</v>
      </c>
      <c r="D67" s="559"/>
      <c r="E67" s="578">
        <v>-413333</v>
      </c>
      <c r="F67" s="489"/>
      <c r="G67" s="592"/>
      <c r="H67" s="524"/>
      <c r="I67" s="280">
        <f>+C67</f>
        <v>-413333</v>
      </c>
      <c r="J67" s="215"/>
      <c r="K67" s="280">
        <f>IF(A2="PARA TRABAJADORES INDEPENDIENTES SIN CATEGORÍA DE EMPLEADOS",0,E67)</f>
        <v>-413333</v>
      </c>
      <c r="M67" s="217"/>
    </row>
    <row r="68" spans="1:17" x14ac:dyDescent="0.25">
      <c r="A68" s="285" t="s">
        <v>8</v>
      </c>
      <c r="B68" s="489"/>
      <c r="C68" s="214">
        <v>0</v>
      </c>
      <c r="D68" s="218">
        <v>16</v>
      </c>
      <c r="E68" s="280">
        <f>IF(A2="PARA TRABAJADORES INDEPENDIENTES SIN CATEGORÍA DE EMPLEADOS",0,-IF($D$45&gt;$D$68*$E$8,$D$68*$E$8,$D$45))</f>
        <v>0</v>
      </c>
      <c r="F68" s="489"/>
      <c r="G68" s="524"/>
      <c r="H68" s="524"/>
      <c r="I68" s="280">
        <v>0</v>
      </c>
      <c r="J68" s="215"/>
      <c r="K68" s="280">
        <f>IF(A2="PARA TRABAJADORES INDEPENDIENTES SIN CATEGORÍA DE EMPLEADOS",0,-IF($D$45&gt;$D$68*$E$8,$D$68*$E$8,$D$45))</f>
        <v>0</v>
      </c>
      <c r="N68" s="154" t="e">
        <f>IF(M51&lt;IF((+K51-K71)&gt;0,0,-(+K51-K71)),IF(-(+K51-K71)&gt;0,0,-(+K51-K71)),-M51-K53)</f>
        <v>#REF!</v>
      </c>
    </row>
    <row r="69" spans="1:17" x14ac:dyDescent="0.25">
      <c r="A69" s="285" t="s">
        <v>114</v>
      </c>
      <c r="B69" s="489"/>
      <c r="C69" s="214">
        <v>0</v>
      </c>
      <c r="D69" s="218">
        <v>100</v>
      </c>
      <c r="E69" s="280">
        <f>IF(A2="PARA TRABAJADORES INDEPENDIENTES SIN CATEGORÍA DE EMPLEADOS",0,-IF($D$46&gt;$E$8*$D$69,$E$8*$D$69,$D$46))</f>
        <v>0</v>
      </c>
      <c r="F69" s="489"/>
      <c r="G69" s="524"/>
      <c r="H69" s="524"/>
      <c r="I69" s="280">
        <v>0</v>
      </c>
      <c r="J69" s="215"/>
      <c r="K69" s="327" t="e">
        <f>IF(#REF!&gt;-E8*D69,#REF!,IF(#REF!&lt;0,IF(A2="PARA TRABAJADORES INDEPENDIENTES SIN CATEGORÍA DE EMPLEADOS",0,-IF($D$46&gt;$E$8*$D$69,$E$8*$D$69,$D$46)),#REF!))</f>
        <v>#REF!</v>
      </c>
    </row>
    <row r="70" spans="1:17" ht="15.75" thickBot="1" x14ac:dyDescent="0.3">
      <c r="A70" s="285" t="s">
        <v>231</v>
      </c>
      <c r="B70" s="489"/>
      <c r="C70" s="504">
        <v>0</v>
      </c>
      <c r="D70" s="580" t="s">
        <v>15</v>
      </c>
      <c r="E70" s="657">
        <f>IF(A2="PARA TRABAJADORES INDEPENDIENTES SIN CATEGORÍA DE EMPLEADOS",0,-IF($D$70="SI",IF(E51/13*0.1&lt;32*$E$8,E51/13*0.1,32*$E$8),0))</f>
        <v>-79487.176923076928</v>
      </c>
      <c r="F70" s="489"/>
      <c r="G70" s="546"/>
      <c r="H70" s="526"/>
      <c r="I70" s="505">
        <v>0</v>
      </c>
      <c r="J70" s="215"/>
      <c r="K70" s="280">
        <f>IF(A2="PARA TRABAJADORES INDEPENDIENTES SIN CATEGORÍA DE EMPLEADOS",0,-IF($D$70="SI",IF(K51*0.1&lt;32*$E$8,K51*0.1,32*$E$8),0))</f>
        <v>-952096</v>
      </c>
      <c r="P70" s="501"/>
    </row>
    <row r="71" spans="1:17" x14ac:dyDescent="0.25">
      <c r="A71" s="684" t="s">
        <v>180</v>
      </c>
      <c r="B71" s="685"/>
      <c r="C71" s="649">
        <f>SUM(C51:C70)</f>
        <v>10355443.9</v>
      </c>
      <c r="D71" s="650"/>
      <c r="E71" s="651">
        <f>IF(SUM(E62:E70)&lt;0,0,SUM(E62:E70))</f>
        <v>8281373.597270471</v>
      </c>
      <c r="F71" s="489"/>
      <c r="G71" s="547"/>
      <c r="H71" s="524"/>
      <c r="I71" s="216">
        <f>IF(SUM(I51:I70)&lt;0,0,SUM(I51:I70))</f>
        <v>9403333.9000000004</v>
      </c>
      <c r="J71" s="266"/>
      <c r="K71" s="281" t="e">
        <f>IF(+K73-K72=0,SUM(K51:K70),+K73-K72)</f>
        <v>#REF!</v>
      </c>
      <c r="L71" s="501" t="e">
        <f>SUM(K51:K70)</f>
        <v>#REF!</v>
      </c>
      <c r="M71" s="219" t="e">
        <f>ROUND(+K71-L71,0)</f>
        <v>#REF!</v>
      </c>
    </row>
    <row r="72" spans="1:17" ht="15.75" thickBot="1" x14ac:dyDescent="0.3">
      <c r="A72" s="556" t="s">
        <v>18</v>
      </c>
      <c r="B72" s="558"/>
      <c r="C72" s="504">
        <v>0</v>
      </c>
      <c r="D72" s="535">
        <v>240</v>
      </c>
      <c r="E72" s="505">
        <f>IF(A2="PARA TRABAJADORES INDEPENDIENTES SIN CATEGORÍA DE EMPLEADOS",0,-IF(E71*25%&gt;E8*D72,E8*D72,E71*25%))</f>
        <v>-2070343.3993176178</v>
      </c>
      <c r="F72" s="489"/>
      <c r="G72" s="524"/>
      <c r="H72" s="524"/>
      <c r="I72" s="216">
        <f>IF(A2="PARA TRABAJADORES INDEPENDIENTES SIN CATEGORÍA DE EMPLEADOS",0,IF(A2="PARA TRABAJADORES INDEPENDIENTES SIN CATEGORÍA DE EMPLEADOS",0,-IF(I71*25%&gt;E8*D72,E8*D72,I71*25%)))</f>
        <v>-2350833.4750000001</v>
      </c>
      <c r="J72" s="215"/>
      <c r="K72" s="280">
        <f>IF(A2="PARA TRABAJADORES INDEPENDIENTES SIN CATEGORÍA DE EMPLEADOS",0,-IF(K73*25%/75%&gt;E8*D72,E8*D72,K73*25%/75%))</f>
        <v>0</v>
      </c>
      <c r="O72" s="566"/>
    </row>
    <row r="73" spans="1:17" x14ac:dyDescent="0.25">
      <c r="A73" s="647" t="s">
        <v>10</v>
      </c>
      <c r="B73" s="648"/>
      <c r="C73" s="649">
        <f>+C71+C72</f>
        <v>10355443.9</v>
      </c>
      <c r="D73" s="650"/>
      <c r="E73" s="651">
        <f>+E71+E72</f>
        <v>6211030.1979528535</v>
      </c>
      <c r="F73" s="489"/>
      <c r="G73" s="545"/>
      <c r="H73" s="275"/>
      <c r="I73" s="331">
        <f>+I71+I72</f>
        <v>7052500.4250000007</v>
      </c>
      <c r="J73" s="323"/>
      <c r="K73" s="502">
        <f>+K74*E8</f>
        <v>0</v>
      </c>
      <c r="M73" s="217" t="s">
        <v>144</v>
      </c>
      <c r="N73" s="154" t="s">
        <v>145</v>
      </c>
      <c r="P73" s="501"/>
      <c r="Q73" s="501"/>
    </row>
    <row r="74" spans="1:17" ht="15.75" thickBot="1" x14ac:dyDescent="0.3">
      <c r="A74" s="285" t="s">
        <v>282</v>
      </c>
      <c r="B74" s="489"/>
      <c r="C74" s="220">
        <f>+C73/$E$8</f>
        <v>348.04705071757473</v>
      </c>
      <c r="D74" s="209"/>
      <c r="E74" s="688">
        <f>+'Cálculo % Fijo de Ret.Fte.'!G91</f>
        <v>0</v>
      </c>
      <c r="F74" s="489"/>
      <c r="G74" s="548"/>
      <c r="H74" s="527"/>
      <c r="I74" s="222">
        <f>IF(C2="PARA TRABAJADORES INDEPENDIENTES SIN CATEGORÍA DE EMPLEADOS",0,+I73/$E$8)</f>
        <v>237.0349351325917</v>
      </c>
      <c r="J74" s="221"/>
      <c r="K74" s="282">
        <f>IF(A2="PARA TRABAJADORES INDEPENDIENTES sin CATEGORÍA DE EMPLEADOS",0,VLOOKUP(L74,'RF Ordinaria'!G23:H26,2,FALSE))</f>
        <v>0</v>
      </c>
      <c r="L74" s="223" t="s">
        <v>112</v>
      </c>
      <c r="M74" s="341">
        <f>+K73</f>
        <v>0</v>
      </c>
      <c r="N74" s="341">
        <f>+K73</f>
        <v>0</v>
      </c>
    </row>
    <row r="75" spans="1:17" x14ac:dyDescent="0.25">
      <c r="A75" s="700" t="s">
        <v>279</v>
      </c>
      <c r="B75" s="701"/>
      <c r="C75" s="702"/>
      <c r="D75" s="703"/>
      <c r="E75" s="704">
        <f>+E73*E74</f>
        <v>0</v>
      </c>
      <c r="F75" s="489"/>
      <c r="G75" s="549"/>
      <c r="H75" s="527"/>
      <c r="I75" s="222"/>
      <c r="J75" s="221"/>
      <c r="K75" s="282"/>
      <c r="L75" s="223"/>
      <c r="M75" s="341"/>
      <c r="N75" s="341"/>
    </row>
    <row r="76" spans="1:17" ht="15.75" thickBot="1" x14ac:dyDescent="0.3">
      <c r="A76" s="562" t="s">
        <v>278</v>
      </c>
      <c r="B76" s="563"/>
      <c r="C76" s="564">
        <f>+D76*E8</f>
        <v>0</v>
      </c>
      <c r="D76" s="565"/>
      <c r="E76" s="667">
        <f>+'Ret.Fte.Sistema IMAN'!E62</f>
        <v>0</v>
      </c>
      <c r="F76" s="489"/>
      <c r="G76" s="533"/>
      <c r="H76" s="528">
        <f>IF(A2="PARA TRABAJADORES INDEPENDIENTES SIN CATEGORÍA DE EMPLEADOS",0,+'RF Ordinaria'!F36)</f>
        <v>0</v>
      </c>
      <c r="I76" s="224">
        <f>IF(A2="PARA TRABAJADORES INDEPENDIENTES SIN CATEGORÍA DE EMPLEADOS",I73*#REF!,+H76*E8)</f>
        <v>0</v>
      </c>
      <c r="J76" s="387">
        <f>+D76</f>
        <v>0</v>
      </c>
      <c r="K76" s="283">
        <f>+C76</f>
        <v>0</v>
      </c>
      <c r="L76" s="277"/>
      <c r="M76" s="341">
        <f>+K72</f>
        <v>0</v>
      </c>
      <c r="N76" s="341">
        <f>+K72</f>
        <v>0</v>
      </c>
    </row>
    <row r="77" spans="1:17" ht="15.75" thickBot="1" x14ac:dyDescent="0.3">
      <c r="A77" s="696"/>
      <c r="B77" s="697"/>
      <c r="C77" s="697"/>
      <c r="D77" s="698" t="s">
        <v>281</v>
      </c>
      <c r="E77" s="699">
        <f>ROUND(IF(E75&gt;E76,E75,E76),-3)</f>
        <v>0</v>
      </c>
      <c r="L77" s="132">
        <v>6.9599999999999995E-2</v>
      </c>
    </row>
    <row r="78" spans="1:17" x14ac:dyDescent="0.25">
      <c r="L78" s="268" t="s">
        <v>125</v>
      </c>
    </row>
    <row r="79" spans="1:17" ht="18" x14ac:dyDescent="0.25">
      <c r="L79" s="270">
        <v>3.5000000000000003E-2</v>
      </c>
      <c r="M79" s="226"/>
    </row>
    <row r="80" spans="1:17" x14ac:dyDescent="0.25">
      <c r="L80" s="270">
        <v>0.04</v>
      </c>
    </row>
    <row r="81" spans="12:12" x14ac:dyDescent="0.25">
      <c r="L81" s="270">
        <v>0.06</v>
      </c>
    </row>
    <row r="82" spans="12:12" x14ac:dyDescent="0.25">
      <c r="L82" s="270">
        <v>0.1</v>
      </c>
    </row>
    <row r="83" spans="12:12" x14ac:dyDescent="0.25">
      <c r="L83" s="270">
        <v>0.11</v>
      </c>
    </row>
    <row r="84" spans="12:12" x14ac:dyDescent="0.25">
      <c r="L84" s="270"/>
    </row>
  </sheetData>
  <mergeCells count="6">
    <mergeCell ref="A1:K1"/>
    <mergeCell ref="A2:K2"/>
    <mergeCell ref="A47:K47"/>
    <mergeCell ref="A48:K48"/>
    <mergeCell ref="H49:I49"/>
    <mergeCell ref="J49:K49"/>
  </mergeCells>
  <conditionalFormatting sqref="O72">
    <cfRule type="cellIs" dxfId="55" priority="4" stopIfTrue="1" operator="equal">
      <formula>"ERROR"</formula>
    </cfRule>
    <cfRule type="cellIs" dxfId="54" priority="5" stopIfTrue="1" operator="equal">
      <formula>"OK"</formula>
    </cfRule>
  </conditionalFormatting>
  <conditionalFormatting sqref="A47:K47">
    <cfRule type="cellIs" dxfId="53" priority="3" stopIfTrue="1" operator="equal">
      <formula>"ATENCIÓN: EL CONTRIBUYENTE TIENE LA CATEGORÍA DE EMPLEADO Y USTED ELIGIÓ A UN INDEPENDIENTE SIN CATEGORÍA DE EMPLEADO"</formula>
    </cfRule>
  </conditionalFormatting>
  <conditionalFormatting sqref="A48:K48">
    <cfRule type="cellIs" dxfId="52" priority="1" stopIfTrue="1" operator="equal">
      <formula>"ATENCIÓN: EL CONTRIBUYENTE ES INDEPENDIENTE CON CATEGORÍA DE EMPLEADO Y USTED ELIGIÓ A UN ASALARIADO CON CATEGORÍA DE EMPLEADO"</formula>
    </cfRule>
    <cfRule type="cellIs" dxfId="51" priority="2" stopIfTrue="1" operator="equal">
      <formula>"ATENCIÓN: ELIJA LA OPCIÓN ADECUADA SEGÚN EL MONTO DE LOS INGRESOS"</formula>
    </cfRule>
  </conditionalFormatting>
  <dataValidations disablePrompts="1" count="5">
    <dataValidation type="list" allowBlank="1" showInputMessage="1" showErrorMessage="1" sqref="B36">
      <formula1>$M$5:$M$6</formula1>
    </dataValidation>
    <dataValidation type="list" allowBlank="1" showInputMessage="1" showErrorMessage="1" sqref="B41">
      <formula1>$M$3:$M$6</formula1>
    </dataValidation>
    <dataValidation type="list" allowBlank="1" showInputMessage="1" showErrorMessage="1" sqref="D70">
      <formula1>$L$5:$L$6</formula1>
    </dataValidation>
    <dataValidation type="list" allowBlank="1" showInputMessage="1" showErrorMessage="1" sqref="D56">
      <formula1>ARL</formula1>
    </dataValidation>
    <dataValidation type="list" allowBlank="1" showInputMessage="1" showErrorMessage="1" sqref="C6">
      <formula1>$L$79:$L$84</formula1>
    </dataValidation>
  </dataValidations>
  <hyperlinks>
    <hyperlink ref="B5" r:id="rId1"/>
    <hyperlink ref="B6" r:id="rId2"/>
  </hyperlinks>
  <pageMargins left="1.1023622047244095" right="0.70866141732283472" top="0.74803149606299213" bottom="0.55118110236220474" header="0.31496062992125984" footer="0.31496062992125984"/>
  <pageSetup scale="95" orientation="landscape" r:id="rId3"/>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7:V100"/>
  <sheetViews>
    <sheetView showGridLines="0" zoomScaleNormal="100" workbookViewId="0">
      <selection activeCell="F52" sqref="F52"/>
    </sheetView>
  </sheetViews>
  <sheetFormatPr baseColWidth="10" defaultColWidth="11.5703125" defaultRowHeight="15" x14ac:dyDescent="0.25"/>
  <cols>
    <col min="1" max="1" width="0.85546875" style="154" customWidth="1"/>
    <col min="2" max="2" width="6.5703125" style="154" customWidth="1"/>
    <col min="3" max="3" width="77.85546875" style="154" customWidth="1"/>
    <col min="4" max="4" width="11.28515625" style="154" customWidth="1"/>
    <col min="5" max="5" width="23" style="154" hidden="1" customWidth="1"/>
    <col min="6" max="6" width="16.85546875" style="154" customWidth="1"/>
    <col min="7" max="7" width="16" style="154" customWidth="1"/>
    <col min="8" max="9" width="15.140625" style="154" hidden="1" customWidth="1"/>
    <col min="10" max="10" width="7.85546875" style="154" hidden="1" customWidth="1"/>
    <col min="11" max="11" width="13.7109375" style="154" hidden="1" customWidth="1"/>
    <col min="12" max="12" width="7.85546875" style="154" hidden="1" customWidth="1"/>
    <col min="13" max="13" width="13.7109375" style="154" hidden="1" customWidth="1"/>
    <col min="14" max="14" width="15.5703125" style="687" hidden="1" customWidth="1"/>
    <col min="15" max="15" width="13.140625" style="204" hidden="1" customWidth="1"/>
    <col min="16" max="16" width="15.28515625" style="154" hidden="1" customWidth="1"/>
    <col min="17" max="17" width="7" style="154" hidden="1" customWidth="1"/>
    <col min="18" max="19" width="15.28515625" style="154" hidden="1" customWidth="1"/>
    <col min="20" max="20" width="0.7109375" style="154" customWidth="1"/>
    <col min="21" max="21" width="21.42578125" style="154" hidden="1" customWidth="1"/>
    <col min="22" max="16384" width="11.5703125" style="154"/>
  </cols>
  <sheetData>
    <row r="7" spans="2:15" ht="18.75" customHeight="1" thickBot="1" x14ac:dyDescent="0.3"/>
    <row r="8" spans="2:15" s="499" customFormat="1" ht="22.5" customHeight="1" thickBot="1" x14ac:dyDescent="0.3">
      <c r="B8" s="718" t="s">
        <v>378</v>
      </c>
      <c r="C8" s="719"/>
      <c r="D8" s="719"/>
      <c r="E8" s="719"/>
      <c r="F8" s="719"/>
      <c r="G8" s="720"/>
      <c r="H8" s="716"/>
      <c r="I8" s="716"/>
      <c r="J8" s="716"/>
      <c r="K8" s="716"/>
      <c r="L8" s="716"/>
      <c r="M8" s="717"/>
      <c r="N8" s="321"/>
      <c r="O8" s="715"/>
    </row>
    <row r="9" spans="2:15" s="499" customFormat="1" ht="22.5" customHeight="1" thickBot="1" x14ac:dyDescent="0.3">
      <c r="B9" s="966" t="s">
        <v>379</v>
      </c>
      <c r="C9" s="967"/>
      <c r="D9" s="967"/>
      <c r="E9" s="967"/>
      <c r="F9" s="967"/>
      <c r="G9" s="968"/>
      <c r="H9" s="716"/>
      <c r="I9" s="716"/>
      <c r="J9" s="716"/>
      <c r="K9" s="716"/>
      <c r="L9" s="716"/>
      <c r="M9" s="717"/>
      <c r="N9" s="321"/>
      <c r="O9" s="715"/>
    </row>
    <row r="10" spans="2:15" s="499" customFormat="1" ht="12" hidden="1" customHeight="1" x14ac:dyDescent="0.25">
      <c r="B10" s="856"/>
      <c r="C10" s="856" t="s">
        <v>123</v>
      </c>
      <c r="D10" s="857"/>
      <c r="E10" s="857"/>
      <c r="F10" s="857"/>
      <c r="G10" s="860"/>
      <c r="H10" s="770"/>
      <c r="I10" s="770"/>
      <c r="J10" s="770"/>
      <c r="K10" s="770"/>
      <c r="L10" s="770"/>
      <c r="M10" s="772"/>
      <c r="N10" s="321"/>
      <c r="O10" s="572"/>
    </row>
    <row r="11" spans="2:15" s="570" customFormat="1" ht="15.75" hidden="1" customHeight="1" x14ac:dyDescent="0.25">
      <c r="B11" s="706"/>
      <c r="C11" s="706"/>
      <c r="D11" s="662"/>
      <c r="E11" s="660"/>
      <c r="F11" s="660"/>
      <c r="G11" s="721"/>
      <c r="H11" s="581"/>
      <c r="I11" s="581"/>
      <c r="J11" s="581"/>
      <c r="K11" s="581"/>
      <c r="L11" s="581"/>
      <c r="M11" s="582"/>
      <c r="N11" s="568"/>
      <c r="O11" s="569"/>
    </row>
    <row r="12" spans="2:15" s="570" customFormat="1" ht="15.75" hidden="1" customHeight="1" x14ac:dyDescent="0.25">
      <c r="B12" s="706"/>
      <c r="C12" s="706"/>
      <c r="D12" s="662"/>
      <c r="E12" s="660"/>
      <c r="F12" s="660"/>
      <c r="G12" s="721"/>
      <c r="H12" s="581"/>
      <c r="I12" s="581"/>
      <c r="J12" s="581"/>
      <c r="K12" s="581"/>
      <c r="L12" s="581"/>
      <c r="M12" s="582"/>
      <c r="N12" s="568"/>
      <c r="O12" s="569"/>
    </row>
    <row r="13" spans="2:15" s="570" customFormat="1" ht="15.75" hidden="1" customHeight="1" x14ac:dyDescent="0.25">
      <c r="B13" s="707"/>
      <c r="C13" s="707"/>
      <c r="D13" s="662"/>
      <c r="E13" s="660"/>
      <c r="F13" s="660"/>
      <c r="G13" s="721"/>
      <c r="H13" s="581"/>
      <c r="I13" s="581"/>
      <c r="J13" s="581"/>
      <c r="K13" s="581"/>
      <c r="L13" s="581"/>
      <c r="M13" s="582"/>
      <c r="N13" s="687" t="s">
        <v>15</v>
      </c>
      <c r="O13" s="687" t="s">
        <v>98</v>
      </c>
    </row>
    <row r="14" spans="2:15" s="499" customFormat="1" ht="15.75" hidden="1" thickBot="1" x14ac:dyDescent="0.3">
      <c r="B14" s="707"/>
      <c r="C14" s="707"/>
      <c r="D14" s="662"/>
      <c r="E14" s="661"/>
      <c r="F14" s="662"/>
      <c r="G14" s="722"/>
      <c r="H14" s="553"/>
      <c r="I14" s="553"/>
      <c r="J14" s="553"/>
      <c r="K14" s="553"/>
      <c r="L14" s="553"/>
      <c r="M14" s="571"/>
      <c r="N14" s="321" t="s">
        <v>83</v>
      </c>
      <c r="O14" s="687" t="s">
        <v>99</v>
      </c>
    </row>
    <row r="15" spans="2:15" ht="15.75" thickBot="1" x14ac:dyDescent="0.3">
      <c r="B15" s="596" t="s">
        <v>220</v>
      </c>
      <c r="C15" s="596"/>
      <c r="D15" s="515"/>
      <c r="E15" s="923"/>
      <c r="F15" s="516"/>
      <c r="G15" s="517"/>
      <c r="H15" s="539"/>
      <c r="I15" s="539"/>
      <c r="J15" s="489"/>
      <c r="K15" s="489"/>
      <c r="L15" s="489"/>
      <c r="M15" s="550"/>
      <c r="N15" s="687" t="s">
        <v>123</v>
      </c>
    </row>
    <row r="16" spans="2:15" x14ac:dyDescent="0.25">
      <c r="B16" s="513"/>
      <c r="C16" s="878"/>
      <c r="D16" s="513"/>
      <c r="E16" s="153"/>
      <c r="F16" s="513" t="s">
        <v>202</v>
      </c>
      <c r="G16" s="633">
        <f>+'Cálculo % Fijo de Ret.Fte.'!G16</f>
        <v>31859</v>
      </c>
      <c r="H16" s="489"/>
      <c r="I16" s="489"/>
      <c r="J16" s="489"/>
      <c r="K16" s="489"/>
      <c r="L16" s="489"/>
      <c r="M16" s="550"/>
      <c r="N16" s="687" t="s">
        <v>122</v>
      </c>
    </row>
    <row r="17" spans="2:19" ht="15.75" thickBot="1" x14ac:dyDescent="0.3">
      <c r="B17" s="634"/>
      <c r="C17" s="879"/>
      <c r="D17" s="634"/>
      <c r="E17" s="489"/>
      <c r="F17" s="634" t="s">
        <v>203</v>
      </c>
      <c r="G17" s="635">
        <f>+'Cálculo % Fijo de Ret.Fte.'!G17</f>
        <v>737717</v>
      </c>
      <c r="H17" s="489"/>
      <c r="I17" s="489"/>
      <c r="J17" s="489"/>
      <c r="K17" s="489"/>
      <c r="L17" s="489"/>
      <c r="M17" s="550"/>
      <c r="N17" s="687" t="s">
        <v>124</v>
      </c>
    </row>
    <row r="18" spans="2:19" s="607" customFormat="1" ht="15.75" hidden="1" thickBot="1" x14ac:dyDescent="0.3">
      <c r="B18" s="708"/>
      <c r="C18" s="636"/>
      <c r="D18" s="636"/>
      <c r="E18" s="637"/>
      <c r="F18" s="636"/>
      <c r="G18" s="723"/>
      <c r="M18" s="709"/>
      <c r="N18" s="309"/>
      <c r="O18" s="310"/>
    </row>
    <row r="19" spans="2:19" x14ac:dyDescent="0.25">
      <c r="B19" s="611"/>
      <c r="C19" s="880" t="s">
        <v>224</v>
      </c>
      <c r="D19" s="612"/>
      <c r="E19" s="613"/>
      <c r="F19" s="614"/>
      <c r="G19" s="615"/>
      <c r="H19" s="539"/>
      <c r="I19" s="539"/>
      <c r="J19" s="489"/>
      <c r="K19" s="489"/>
      <c r="L19" s="489"/>
      <c r="M19" s="550"/>
      <c r="N19" s="687" t="s">
        <v>123</v>
      </c>
      <c r="S19" s="687"/>
    </row>
    <row r="20" spans="2:19" s="625" customFormat="1" ht="11.25" x14ac:dyDescent="0.2">
      <c r="B20" s="912" t="s">
        <v>225</v>
      </c>
      <c r="C20" s="910"/>
      <c r="D20" s="617"/>
      <c r="E20" s="911"/>
      <c r="F20" s="619"/>
      <c r="G20" s="619" t="s">
        <v>226</v>
      </c>
      <c r="H20" s="620"/>
      <c r="I20" s="620"/>
      <c r="J20" s="621"/>
      <c r="K20" s="621"/>
      <c r="L20" s="621"/>
      <c r="M20" s="622"/>
      <c r="N20" s="623"/>
      <c r="O20" s="624"/>
      <c r="S20" s="623"/>
    </row>
    <row r="21" spans="2:19" x14ac:dyDescent="0.25">
      <c r="B21" s="1023">
        <f>+'Cálculo % Fijo de Ret.Fte.'!B21</f>
        <v>0</v>
      </c>
      <c r="C21" s="1024"/>
      <c r="D21" s="1024"/>
      <c r="E21" s="1024"/>
      <c r="F21" s="1025"/>
      <c r="G21" s="652">
        <f>+'Cálculo % Fijo de Ret.Fte.'!G21</f>
        <v>0</v>
      </c>
      <c r="H21" s="583"/>
      <c r="I21" s="583"/>
      <c r="J21" s="489"/>
      <c r="K21" s="489"/>
      <c r="L21" s="489"/>
      <c r="M21" s="550"/>
      <c r="S21" s="687"/>
    </row>
    <row r="22" spans="2:19" x14ac:dyDescent="0.25">
      <c r="B22" s="626"/>
      <c r="C22" s="881" t="s">
        <v>227</v>
      </c>
      <c r="D22" s="627"/>
      <c r="E22" s="628"/>
      <c r="F22" s="629"/>
      <c r="G22" s="630"/>
      <c r="H22" s="539"/>
      <c r="I22" s="539"/>
      <c r="J22" s="489"/>
      <c r="K22" s="489"/>
      <c r="L22" s="489"/>
      <c r="M22" s="550"/>
      <c r="N22" s="687" t="s">
        <v>123</v>
      </c>
      <c r="S22" s="687"/>
    </row>
    <row r="23" spans="2:19" s="625" customFormat="1" ht="11.25" x14ac:dyDescent="0.2">
      <c r="B23" s="912" t="s">
        <v>228</v>
      </c>
      <c r="C23" s="912"/>
      <c r="D23" s="617"/>
      <c r="E23" s="911"/>
      <c r="F23" s="619"/>
      <c r="G23" s="619" t="s">
        <v>230</v>
      </c>
      <c r="H23" s="620"/>
      <c r="I23" s="620"/>
      <c r="J23" s="621"/>
      <c r="K23" s="621"/>
      <c r="L23" s="621"/>
      <c r="M23" s="622"/>
      <c r="N23" s="623"/>
      <c r="O23" s="624"/>
      <c r="S23" s="623"/>
    </row>
    <row r="24" spans="2:19" x14ac:dyDescent="0.25">
      <c r="B24" s="1023">
        <f>+'Cálculo % Fijo de Ret.Fte.'!B24:F24</f>
        <v>0</v>
      </c>
      <c r="C24" s="1024"/>
      <c r="D24" s="1024"/>
      <c r="E24" s="1024"/>
      <c r="F24" s="1025"/>
      <c r="G24" s="705">
        <f>+'Cálculo % Fijo de Ret.Fte.'!G24</f>
        <v>0</v>
      </c>
      <c r="H24" s="514"/>
      <c r="I24" s="514"/>
      <c r="J24" s="489"/>
      <c r="K24" s="489"/>
      <c r="L24" s="489"/>
      <c r="M24" s="550"/>
      <c r="S24" s="687"/>
    </row>
    <row r="25" spans="2:19" hidden="1" x14ac:dyDescent="0.25">
      <c r="B25" s="640"/>
      <c r="C25" s="640"/>
      <c r="D25" s="267"/>
      <c r="E25" s="267"/>
      <c r="F25" s="641"/>
      <c r="G25" s="724"/>
      <c r="H25" s="585"/>
      <c r="I25" s="585"/>
      <c r="J25" s="489"/>
      <c r="K25" s="489"/>
      <c r="L25" s="489"/>
      <c r="M25" s="550"/>
    </row>
    <row r="26" spans="2:19" hidden="1" x14ac:dyDescent="0.25">
      <c r="B26" s="611"/>
      <c r="C26" s="611" t="s">
        <v>229</v>
      </c>
      <c r="D26" s="612"/>
      <c r="E26" s="613"/>
      <c r="F26" s="614"/>
      <c r="G26" s="615"/>
      <c r="H26" s="539"/>
      <c r="I26" s="539"/>
      <c r="J26" s="489"/>
      <c r="K26" s="489"/>
      <c r="L26" s="489"/>
      <c r="M26" s="550"/>
      <c r="S26" s="687"/>
    </row>
    <row r="27" spans="2:19" hidden="1" x14ac:dyDescent="0.25">
      <c r="B27" s="513"/>
      <c r="C27" s="513"/>
      <c r="D27" s="513" t="s">
        <v>215</v>
      </c>
      <c r="E27" s="520"/>
      <c r="F27" s="732">
        <v>42339</v>
      </c>
      <c r="G27" s="733">
        <v>42704</v>
      </c>
      <c r="H27" s="583"/>
      <c r="I27" s="583"/>
      <c r="J27" s="489"/>
      <c r="K27" s="489"/>
      <c r="L27" s="489"/>
      <c r="M27" s="550"/>
    </row>
    <row r="28" spans="2:19" ht="15.75" hidden="1" thickBot="1" x14ac:dyDescent="0.3">
      <c r="B28" s="518"/>
      <c r="C28" s="518"/>
      <c r="D28" s="518" t="s">
        <v>216</v>
      </c>
      <c r="E28" s="512"/>
      <c r="F28" s="584">
        <f>+G28/30</f>
        <v>12.2</v>
      </c>
      <c r="G28" s="519">
        <f>+G27-F27+1</f>
        <v>366</v>
      </c>
      <c r="H28" s="514"/>
      <c r="I28" s="514"/>
      <c r="J28" s="489"/>
      <c r="K28" s="489"/>
      <c r="L28" s="489"/>
      <c r="M28" s="550"/>
    </row>
    <row r="29" spans="2:19" s="607" customFormat="1" hidden="1" x14ac:dyDescent="0.25">
      <c r="B29" s="710"/>
      <c r="C29" s="710"/>
      <c r="D29" s="631"/>
      <c r="F29" s="639"/>
      <c r="G29" s="725"/>
      <c r="H29" s="632"/>
      <c r="I29" s="632"/>
      <c r="M29" s="709"/>
      <c r="N29" s="309"/>
      <c r="O29" s="310"/>
    </row>
    <row r="30" spans="2:19" x14ac:dyDescent="0.25">
      <c r="B30" s="886" t="s">
        <v>366</v>
      </c>
      <c r="C30" s="537" t="s">
        <v>219</v>
      </c>
      <c r="D30" s="538"/>
      <c r="E30" s="552"/>
      <c r="F30" s="511" t="s">
        <v>213</v>
      </c>
      <c r="G30" s="586" t="s">
        <v>214</v>
      </c>
      <c r="H30" s="587"/>
      <c r="I30" s="587"/>
      <c r="J30" s="489"/>
      <c r="K30" s="489"/>
      <c r="L30" s="489"/>
      <c r="M30" s="550"/>
    </row>
    <row r="31" spans="2:19" x14ac:dyDescent="0.25">
      <c r="B31" s="887">
        <v>1</v>
      </c>
      <c r="C31" s="507" t="s">
        <v>381</v>
      </c>
      <c r="D31" s="510"/>
      <c r="E31" s="489"/>
      <c r="F31" s="575">
        <v>0</v>
      </c>
      <c r="G31" s="594">
        <f t="shared" ref="G31:G42" si="0">IF(F31&gt;0,+F31/$F$44,0)</f>
        <v>0</v>
      </c>
      <c r="H31" s="540"/>
      <c r="I31" s="540"/>
      <c r="J31" s="489"/>
      <c r="K31" s="489"/>
      <c r="L31" s="489"/>
      <c r="M31" s="550"/>
    </row>
    <row r="32" spans="2:19" x14ac:dyDescent="0.25">
      <c r="B32" s="887">
        <f>+B31+1</f>
        <v>2</v>
      </c>
      <c r="C32" s="507" t="s">
        <v>204</v>
      </c>
      <c r="D32" s="510"/>
      <c r="E32" s="489"/>
      <c r="F32" s="576">
        <v>0</v>
      </c>
      <c r="G32" s="594">
        <f t="shared" si="0"/>
        <v>0</v>
      </c>
      <c r="H32" s="540"/>
      <c r="I32" s="540"/>
      <c r="J32" s="489"/>
      <c r="K32" s="489"/>
      <c r="L32" s="489"/>
      <c r="M32" s="550"/>
    </row>
    <row r="33" spans="2:13" x14ac:dyDescent="0.25">
      <c r="B33" s="887">
        <f t="shared" ref="B33:B90" si="1">+B32+1</f>
        <v>3</v>
      </c>
      <c r="C33" s="507" t="s">
        <v>193</v>
      </c>
      <c r="D33" s="510"/>
      <c r="E33" s="489"/>
      <c r="F33" s="576">
        <v>0</v>
      </c>
      <c r="G33" s="594">
        <f t="shared" si="0"/>
        <v>0</v>
      </c>
      <c r="H33" s="540"/>
      <c r="I33" s="540"/>
      <c r="J33" s="489"/>
      <c r="K33" s="489"/>
      <c r="L33" s="489"/>
      <c r="M33" s="550"/>
    </row>
    <row r="34" spans="2:13" x14ac:dyDescent="0.25">
      <c r="B34" s="887">
        <f t="shared" si="1"/>
        <v>4</v>
      </c>
      <c r="C34" s="507" t="s">
        <v>194</v>
      </c>
      <c r="D34" s="510"/>
      <c r="E34" s="489"/>
      <c r="F34" s="576">
        <v>0</v>
      </c>
      <c r="G34" s="594">
        <f t="shared" si="0"/>
        <v>0</v>
      </c>
      <c r="H34" s="540"/>
      <c r="I34" s="540"/>
      <c r="J34" s="489"/>
      <c r="K34" s="489"/>
      <c r="L34" s="489"/>
      <c r="M34" s="550"/>
    </row>
    <row r="35" spans="2:13" x14ac:dyDescent="0.25">
      <c r="B35" s="887">
        <f t="shared" si="1"/>
        <v>5</v>
      </c>
      <c r="C35" s="507" t="s">
        <v>195</v>
      </c>
      <c r="D35" s="510"/>
      <c r="E35" s="489"/>
      <c r="F35" s="576">
        <v>0</v>
      </c>
      <c r="G35" s="594">
        <f t="shared" si="0"/>
        <v>0</v>
      </c>
      <c r="H35" s="540"/>
      <c r="I35" s="540"/>
      <c r="J35" s="489"/>
      <c r="K35" s="489"/>
      <c r="L35" s="489"/>
      <c r="M35" s="550"/>
    </row>
    <row r="36" spans="2:13" x14ac:dyDescent="0.25">
      <c r="B36" s="887">
        <f t="shared" si="1"/>
        <v>6</v>
      </c>
      <c r="C36" s="507" t="s">
        <v>198</v>
      </c>
      <c r="D36" s="510"/>
      <c r="E36" s="489"/>
      <c r="F36" s="576">
        <v>0</v>
      </c>
      <c r="G36" s="594">
        <f t="shared" si="0"/>
        <v>0</v>
      </c>
      <c r="H36" s="540"/>
      <c r="I36" s="540"/>
      <c r="J36" s="489"/>
      <c r="K36" s="489"/>
      <c r="L36" s="489"/>
      <c r="M36" s="550"/>
    </row>
    <row r="37" spans="2:13" x14ac:dyDescent="0.25">
      <c r="B37" s="887">
        <f t="shared" si="1"/>
        <v>7</v>
      </c>
      <c r="C37" s="507" t="s">
        <v>191</v>
      </c>
      <c r="D37" s="510"/>
      <c r="E37" s="489"/>
      <c r="F37" s="576">
        <v>0</v>
      </c>
      <c r="G37" s="594">
        <f t="shared" si="0"/>
        <v>0</v>
      </c>
      <c r="H37" s="540"/>
      <c r="I37" s="540"/>
      <c r="J37" s="489"/>
      <c r="K37" s="489"/>
      <c r="L37" s="489"/>
      <c r="M37" s="550"/>
    </row>
    <row r="38" spans="2:13" x14ac:dyDescent="0.25">
      <c r="B38" s="887">
        <f t="shared" si="1"/>
        <v>8</v>
      </c>
      <c r="C38" s="507" t="s">
        <v>196</v>
      </c>
      <c r="D38" s="510"/>
      <c r="E38" s="489"/>
      <c r="F38" s="576">
        <v>0</v>
      </c>
      <c r="G38" s="594">
        <f t="shared" si="0"/>
        <v>0</v>
      </c>
      <c r="H38" s="540"/>
      <c r="I38" s="540"/>
      <c r="J38" s="489"/>
      <c r="K38" s="489"/>
      <c r="L38" s="489"/>
      <c r="M38" s="550"/>
    </row>
    <row r="39" spans="2:13" x14ac:dyDescent="0.25">
      <c r="B39" s="887">
        <f t="shared" si="1"/>
        <v>9</v>
      </c>
      <c r="C39" s="507" t="s">
        <v>197</v>
      </c>
      <c r="D39" s="510"/>
      <c r="E39" s="489"/>
      <c r="F39" s="576">
        <v>0</v>
      </c>
      <c r="G39" s="594">
        <f t="shared" si="0"/>
        <v>0</v>
      </c>
      <c r="H39" s="540"/>
      <c r="I39" s="540"/>
      <c r="J39" s="489"/>
      <c r="K39" s="489"/>
      <c r="L39" s="489"/>
      <c r="M39" s="550"/>
    </row>
    <row r="40" spans="2:13" x14ac:dyDescent="0.25">
      <c r="B40" s="887">
        <f t="shared" si="1"/>
        <v>10</v>
      </c>
      <c r="C40" s="507" t="s">
        <v>199</v>
      </c>
      <c r="D40" s="510"/>
      <c r="E40" s="489"/>
      <c r="F40" s="576">
        <v>0</v>
      </c>
      <c r="G40" s="594">
        <f t="shared" si="0"/>
        <v>0</v>
      </c>
      <c r="H40" s="540"/>
      <c r="I40" s="540"/>
      <c r="J40" s="489"/>
      <c r="K40" s="489"/>
      <c r="L40" s="489"/>
      <c r="M40" s="550"/>
    </row>
    <row r="41" spans="2:13" x14ac:dyDescent="0.25">
      <c r="B41" s="887">
        <f t="shared" si="1"/>
        <v>11</v>
      </c>
      <c r="C41" s="507" t="s">
        <v>192</v>
      </c>
      <c r="D41" s="510"/>
      <c r="E41" s="489"/>
      <c r="F41" s="576">
        <v>0</v>
      </c>
      <c r="G41" s="594">
        <f t="shared" si="0"/>
        <v>0</v>
      </c>
      <c r="H41" s="540"/>
      <c r="I41" s="540"/>
      <c r="J41" s="489"/>
      <c r="K41" s="489"/>
      <c r="L41" s="489"/>
      <c r="M41" s="550"/>
    </row>
    <row r="42" spans="2:13" x14ac:dyDescent="0.25">
      <c r="B42" s="887">
        <f t="shared" si="1"/>
        <v>12</v>
      </c>
      <c r="C42" s="507" t="s">
        <v>200</v>
      </c>
      <c r="D42" s="510"/>
      <c r="E42" s="489"/>
      <c r="F42" s="576">
        <v>0</v>
      </c>
      <c r="G42" s="594">
        <f t="shared" si="0"/>
        <v>0</v>
      </c>
      <c r="H42" s="540"/>
      <c r="I42" s="540"/>
      <c r="J42" s="489"/>
      <c r="K42" s="489"/>
      <c r="L42" s="489"/>
      <c r="M42" s="550"/>
    </row>
    <row r="43" spans="2:13" x14ac:dyDescent="0.25">
      <c r="B43" s="889">
        <f t="shared" si="1"/>
        <v>13</v>
      </c>
      <c r="C43" s="508" t="s">
        <v>201</v>
      </c>
      <c r="D43" s="509"/>
      <c r="E43" s="489"/>
      <c r="F43" s="588">
        <f>-F42</f>
        <v>0</v>
      </c>
      <c r="G43" s="595"/>
      <c r="H43" s="541"/>
      <c r="I43" s="541"/>
      <c r="J43" s="489"/>
      <c r="K43" s="489"/>
      <c r="L43" s="489"/>
      <c r="M43" s="550"/>
    </row>
    <row r="44" spans="2:13" x14ac:dyDescent="0.25">
      <c r="B44" s="887">
        <f t="shared" si="1"/>
        <v>14</v>
      </c>
      <c r="C44" s="500" t="s">
        <v>210</v>
      </c>
      <c r="D44" s="593" t="s">
        <v>99</v>
      </c>
      <c r="E44" s="489"/>
      <c r="F44" s="589">
        <f>SUM(F31:F42)</f>
        <v>0</v>
      </c>
      <c r="G44" s="422">
        <f>SUM(G31:G43)</f>
        <v>0</v>
      </c>
      <c r="H44" s="542"/>
      <c r="I44" s="542"/>
      <c r="J44" s="489"/>
      <c r="K44" s="489"/>
      <c r="L44" s="489"/>
      <c r="M44" s="550"/>
    </row>
    <row r="45" spans="2:13" hidden="1" x14ac:dyDescent="0.25">
      <c r="B45" s="887">
        <f t="shared" si="1"/>
        <v>15</v>
      </c>
      <c r="C45" s="205" t="s">
        <v>134</v>
      </c>
      <c r="D45" s="206" t="str">
        <f>+D44</f>
        <v>ANUAL</v>
      </c>
      <c r="E45" s="489"/>
      <c r="F45" s="590">
        <v>0</v>
      </c>
      <c r="G45" s="422">
        <f>IF(F45&gt;0,+F45/$F$48,0)</f>
        <v>0</v>
      </c>
      <c r="H45" s="542"/>
      <c r="I45" s="542"/>
      <c r="J45" s="489"/>
      <c r="K45" s="489"/>
      <c r="L45" s="489"/>
      <c r="M45" s="550"/>
    </row>
    <row r="46" spans="2:13" hidden="1" x14ac:dyDescent="0.25">
      <c r="B46" s="887">
        <f t="shared" si="1"/>
        <v>16</v>
      </c>
      <c r="C46" s="205" t="s">
        <v>140</v>
      </c>
      <c r="D46" s="206" t="str">
        <f>+D45</f>
        <v>ANUAL</v>
      </c>
      <c r="E46" s="489"/>
      <c r="F46" s="590">
        <v>0</v>
      </c>
      <c r="G46" s="422">
        <f>IF(F46&gt;0,+F46/$F$48,0)</f>
        <v>0</v>
      </c>
      <c r="H46" s="542"/>
      <c r="I46" s="542"/>
      <c r="J46" s="489"/>
      <c r="K46" s="489"/>
      <c r="L46" s="489"/>
      <c r="M46" s="550"/>
    </row>
    <row r="47" spans="2:13" hidden="1" x14ac:dyDescent="0.25">
      <c r="B47" s="887">
        <f t="shared" si="1"/>
        <v>17</v>
      </c>
      <c r="C47" s="205" t="s">
        <v>141</v>
      </c>
      <c r="D47" s="206" t="str">
        <f>+D46</f>
        <v>ANUAL</v>
      </c>
      <c r="E47" s="489"/>
      <c r="F47" s="590">
        <v>0</v>
      </c>
      <c r="G47" s="422">
        <f>IF(F47&gt;0,+F47/$F$48,0)</f>
        <v>0</v>
      </c>
      <c r="H47" s="542"/>
      <c r="I47" s="542"/>
      <c r="J47" s="489"/>
      <c r="K47" s="489"/>
      <c r="L47" s="489"/>
      <c r="M47" s="550"/>
    </row>
    <row r="48" spans="2:13" ht="15.75" thickBot="1" x14ac:dyDescent="0.3">
      <c r="B48" s="890">
        <f t="shared" si="1"/>
        <v>18</v>
      </c>
      <c r="C48" s="328" t="s">
        <v>211</v>
      </c>
      <c r="D48" s="329" t="str">
        <f>+D47</f>
        <v>ANUAL</v>
      </c>
      <c r="E48" s="489"/>
      <c r="F48" s="423">
        <f>SUM(F31:F43)</f>
        <v>0</v>
      </c>
      <c r="G48" s="424">
        <f>SUM(G31:G41)</f>
        <v>0</v>
      </c>
      <c r="H48" s="543"/>
      <c r="I48" s="543"/>
      <c r="J48" s="489"/>
      <c r="K48" s="489"/>
      <c r="L48" s="489"/>
      <c r="M48" s="550"/>
    </row>
    <row r="49" spans="2:21" ht="15.75" hidden="1" thickBot="1" x14ac:dyDescent="0.3">
      <c r="B49" s="891">
        <f t="shared" si="1"/>
        <v>19</v>
      </c>
      <c r="C49" s="425"/>
      <c r="D49" s="334"/>
      <c r="E49" s="489"/>
      <c r="F49" s="426" t="s">
        <v>135</v>
      </c>
      <c r="G49" s="550"/>
      <c r="H49" s="489"/>
      <c r="I49" s="489"/>
      <c r="J49" s="489"/>
      <c r="K49" s="489"/>
      <c r="L49" s="489"/>
      <c r="M49" s="550"/>
    </row>
    <row r="50" spans="2:21" ht="15" hidden="1" customHeight="1" x14ac:dyDescent="0.3">
      <c r="B50" s="892">
        <f t="shared" si="1"/>
        <v>20</v>
      </c>
      <c r="C50" s="521" t="s">
        <v>147</v>
      </c>
      <c r="D50" s="522" t="str">
        <f>+D48</f>
        <v>ANUAL</v>
      </c>
      <c r="E50" s="489"/>
      <c r="F50" s="591">
        <v>0</v>
      </c>
      <c r="G50" s="550"/>
      <c r="H50" s="489"/>
      <c r="I50" s="489"/>
      <c r="J50" s="489"/>
      <c r="K50" s="489"/>
      <c r="L50" s="489"/>
      <c r="M50" s="550"/>
    </row>
    <row r="51" spans="2:21" x14ac:dyDescent="0.25">
      <c r="B51" s="893">
        <f t="shared" si="1"/>
        <v>21</v>
      </c>
      <c r="C51" s="913" t="s">
        <v>86</v>
      </c>
      <c r="D51" s="920"/>
      <c r="E51" s="916"/>
      <c r="F51" s="577">
        <v>0</v>
      </c>
      <c r="G51" s="928">
        <f>IF(F51&gt;0,F51/SUM($F$51:$F$54),0)</f>
        <v>0</v>
      </c>
      <c r="H51" s="489"/>
      <c r="I51" s="489"/>
      <c r="J51" s="489"/>
      <c r="K51" s="489"/>
      <c r="L51" s="489"/>
      <c r="M51" s="550"/>
    </row>
    <row r="52" spans="2:21" x14ac:dyDescent="0.25">
      <c r="B52" s="894">
        <f t="shared" si="1"/>
        <v>22</v>
      </c>
      <c r="C52" s="507" t="s">
        <v>85</v>
      </c>
      <c r="D52" s="921"/>
      <c r="E52" s="916"/>
      <c r="F52" s="576">
        <v>0</v>
      </c>
      <c r="G52" s="929">
        <f t="shared" ref="G52:G54" si="2">IF(F52&gt;0,F52/SUM($F$51:$F$54),0)</f>
        <v>0</v>
      </c>
      <c r="H52" s="489"/>
      <c r="I52" s="489"/>
      <c r="J52" s="489"/>
      <c r="K52" s="489"/>
      <c r="L52" s="489"/>
      <c r="M52" s="550"/>
      <c r="N52" s="687">
        <f>IF(N54*0.3&gt;+G16*3800,G16*3800,N54*0.3)</f>
        <v>0</v>
      </c>
    </row>
    <row r="53" spans="2:21" x14ac:dyDescent="0.25">
      <c r="B53" s="894">
        <f t="shared" si="1"/>
        <v>23</v>
      </c>
      <c r="C53" s="507" t="s">
        <v>350</v>
      </c>
      <c r="D53" s="926"/>
      <c r="E53" s="927"/>
      <c r="F53" s="589">
        <f>-'Cálculo % Fijo de Ret.Fte.'!G75</f>
        <v>0</v>
      </c>
      <c r="G53" s="929">
        <f t="shared" si="2"/>
        <v>0</v>
      </c>
      <c r="H53" s="489"/>
      <c r="I53" s="489"/>
      <c r="J53" s="489"/>
      <c r="K53" s="489"/>
      <c r="L53" s="489"/>
      <c r="M53" s="550"/>
      <c r="N53" s="687">
        <f>+G17*25</f>
        <v>18442925</v>
      </c>
      <c r="O53" s="219">
        <f>+N53/0.4</f>
        <v>46107312.5</v>
      </c>
    </row>
    <row r="54" spans="2:21" ht="15.75" thickBot="1" x14ac:dyDescent="0.3">
      <c r="B54" s="894">
        <f t="shared" si="1"/>
        <v>24</v>
      </c>
      <c r="C54" s="507" t="s">
        <v>349</v>
      </c>
      <c r="D54" s="926"/>
      <c r="E54" s="927"/>
      <c r="F54" s="977">
        <f>-'Cálculo % Fijo de Ret.Fte.'!G76</f>
        <v>0</v>
      </c>
      <c r="G54" s="929">
        <f t="shared" si="2"/>
        <v>0</v>
      </c>
      <c r="H54" s="489"/>
      <c r="I54" s="489"/>
      <c r="J54" s="489"/>
      <c r="K54" s="489"/>
      <c r="L54" s="489"/>
      <c r="M54" s="550"/>
      <c r="N54" s="687">
        <f>IF(D44="MENSUAL",+F44*13,F44)</f>
        <v>0</v>
      </c>
    </row>
    <row r="55" spans="2:21" s="499" customFormat="1" ht="15" hidden="1" customHeight="1" x14ac:dyDescent="0.3">
      <c r="B55" s="861">
        <f t="shared" si="1"/>
        <v>25</v>
      </c>
      <c r="C55" s="861" t="e">
        <f>IF(N55=TRUE,"ATENCIÓN: EL CONTRIBUYENTE TIENE LA CATEGORÍA DE EMPLEADO Y USTED ELIGIÓ A UN INDEPENDIENTE SIN CATEGORÍA DE EMPLEADO","")</f>
        <v>#REF!</v>
      </c>
      <c r="D55" s="862"/>
      <c r="E55" s="862"/>
      <c r="F55" s="862"/>
      <c r="G55" s="863"/>
      <c r="H55" s="773"/>
      <c r="I55" s="773"/>
      <c r="J55" s="773"/>
      <c r="K55" s="773"/>
      <c r="L55" s="773"/>
      <c r="M55" s="774"/>
      <c r="N55" s="321" t="e">
        <f>AND(#REF!="SI",C10="PARA TRABAJADORES INDEPENDIENTES SIN CATEGORÍA DE EMPLEADOS")</f>
        <v>#REF!</v>
      </c>
      <c r="O55" s="321" t="e">
        <f>AND(#REF!="SI",F44&gt;F45,C10="PARA ASALARIADOS CON CATEGORÍA DE EMPLEADOS")</f>
        <v>#REF!</v>
      </c>
    </row>
    <row r="56" spans="2:21" s="499" customFormat="1" ht="15" hidden="1" customHeight="1" thickBot="1" x14ac:dyDescent="0.3">
      <c r="B56" s="858">
        <f t="shared" si="1"/>
        <v>26</v>
      </c>
      <c r="C56" s="858" t="e">
        <f>IF(O55=FALSE,"ATENCIÓN: ELIJA LA OPCIÓN ADECUADA SEGÚN EL MONTO DE LOS INGRESOS","")</f>
        <v>#REF!</v>
      </c>
      <c r="D56" s="859"/>
      <c r="E56" s="859"/>
      <c r="F56" s="859"/>
      <c r="G56" s="864"/>
      <c r="H56" s="771"/>
      <c r="I56" s="771"/>
      <c r="J56" s="771"/>
      <c r="K56" s="771"/>
      <c r="L56" s="771"/>
      <c r="M56" s="775"/>
      <c r="N56" s="321"/>
      <c r="O56" s="321"/>
    </row>
    <row r="57" spans="2:21" ht="58.5" customHeight="1" thickBot="1" x14ac:dyDescent="0.3">
      <c r="B57" s="560" t="s">
        <v>21</v>
      </c>
      <c r="C57" s="888"/>
      <c r="D57" s="561"/>
      <c r="E57" s="207" t="s">
        <v>3</v>
      </c>
      <c r="F57" s="207" t="s">
        <v>218</v>
      </c>
      <c r="G57" s="498" t="s">
        <v>101</v>
      </c>
      <c r="H57" s="489"/>
      <c r="I57" s="498"/>
      <c r="J57" s="1021" t="s">
        <v>156</v>
      </c>
      <c r="K57" s="1022"/>
      <c r="L57" s="1021" t="s">
        <v>115</v>
      </c>
      <c r="M57" s="1022"/>
      <c r="N57" s="208"/>
    </row>
    <row r="58" spans="2:21" ht="15.75" hidden="1" thickBot="1" x14ac:dyDescent="0.3">
      <c r="B58" s="895" t="e">
        <f t="shared" si="1"/>
        <v>#VALUE!</v>
      </c>
      <c r="C58" s="285"/>
      <c r="D58" s="489"/>
      <c r="E58" s="209"/>
      <c r="F58" s="209"/>
      <c r="G58" s="279"/>
      <c r="H58" s="489"/>
      <c r="I58" s="267"/>
      <c r="J58" s="210"/>
      <c r="K58" s="279"/>
      <c r="L58" s="210"/>
      <c r="M58" s="279"/>
    </row>
    <row r="59" spans="2:21" x14ac:dyDescent="0.25">
      <c r="B59" s="896">
        <f>+B54+1</f>
        <v>25</v>
      </c>
      <c r="C59" s="597" t="s">
        <v>221</v>
      </c>
      <c r="D59" s="598"/>
      <c r="E59" s="599">
        <f>IF(C10="PARA TRABAJADORES INDEPENDIENTES SIN CATEGORÍA DE EMPLEADOS",0,+F44+F45)</f>
        <v>0</v>
      </c>
      <c r="F59" s="600"/>
      <c r="G59" s="601">
        <f>+F48</f>
        <v>0</v>
      </c>
      <c r="H59" s="489"/>
      <c r="I59" s="275"/>
      <c r="J59" s="503"/>
      <c r="K59" s="331">
        <f>+G59</f>
        <v>0</v>
      </c>
      <c r="L59" s="212"/>
      <c r="M59" s="331">
        <f>IF(C10="PARA TRABAJADORES INDEPENDIENTES SIN CATEGORÍA DE EMPLEADOS",0,F44+F45)</f>
        <v>0</v>
      </c>
      <c r="N59" s="687">
        <f>+G59*F80</f>
        <v>0</v>
      </c>
      <c r="O59" s="687">
        <f>IF(N59&gt;N64,N64,N59)</f>
        <v>0</v>
      </c>
      <c r="R59" s="326"/>
      <c r="T59" s="726"/>
    </row>
    <row r="60" spans="2:21" x14ac:dyDescent="0.25">
      <c r="B60" s="904"/>
      <c r="C60" s="554" t="s">
        <v>298</v>
      </c>
      <c r="D60" s="489"/>
      <c r="E60" s="330"/>
      <c r="F60" s="209"/>
      <c r="G60" s="331"/>
      <c r="H60" s="489"/>
      <c r="I60" s="275"/>
      <c r="J60" s="503"/>
      <c r="K60" s="331"/>
      <c r="L60" s="503"/>
      <c r="M60" s="331"/>
      <c r="O60" s="687"/>
      <c r="R60" s="326"/>
    </row>
    <row r="61" spans="2:21" x14ac:dyDescent="0.25">
      <c r="B61" s="904">
        <f>+B59+1</f>
        <v>26</v>
      </c>
      <c r="C61" s="285" t="s">
        <v>297</v>
      </c>
      <c r="D61" s="489"/>
      <c r="E61" s="330">
        <f>IF(C10="PARA TRABAJADORES INDEPENDIENTES SIN CATEGORÍA DE EMPLEADOS",0,IF(F44&gt;0,IF(E63&lt;0,0,-IF($F$44&gt;$N$53,$N$53*$F$61,$F$44*$F$61)),0))</f>
        <v>0</v>
      </c>
      <c r="F61" s="559">
        <v>0.04</v>
      </c>
      <c r="G61" s="331">
        <f>-ROUND(IF(F48&gt;0,IF(G63&lt;0,0,IF(SUM(F31:F37)&gt;Datos!H34,Datos!H34*F61,SUM(F31:F37)*F61)),0),-2)</f>
        <v>0</v>
      </c>
      <c r="H61" s="489"/>
      <c r="I61" s="275"/>
      <c r="J61" s="275"/>
      <c r="K61" s="331">
        <f>IF(F44&gt;0,IF(K63&lt;0,0,-IF($F$44&gt;$N$53,$N$53*$F$61,$F$44*$F$61)),0)</f>
        <v>0</v>
      </c>
      <c r="L61" s="275"/>
      <c r="M61" s="331">
        <f>IF($C$10="PARA TRABAJADORES INDEPENDIENTES SIN CATEGORÍA DE EMPLEADOS",0,IF(F44&gt;0,IF(M63&lt;0,0,-IF($F$44&gt;$N$53,$N$53*$F$61,$F$44*$F$61)),0))</f>
        <v>0</v>
      </c>
      <c r="O61" s="217">
        <f>+G64+G80</f>
        <v>0</v>
      </c>
      <c r="R61" s="687"/>
    </row>
    <row r="62" spans="2:21" x14ac:dyDescent="0.25">
      <c r="B62" s="904">
        <f t="shared" si="1"/>
        <v>27</v>
      </c>
      <c r="C62" s="285" t="s">
        <v>164</v>
      </c>
      <c r="D62" s="489"/>
      <c r="E62" s="330">
        <f>IF(C10="PARA TRABAJADORES INDEPENDIENTES SIN CATEGORÍA DE EMPLEADOS",0,IF($C$10&lt;&gt;"PARA ASALARIADOS CON CATEGORÍA DE EMPLEADOS",IF(E63&lt;0,0,-IF($F$45*0.4&gt;$N$53,$N$53*$F$62,$F$45*0.4*$F$62)),IF(E63&lt;0,0,-IF($F$45*0.4&gt;$N$53,$N$53*$F$62,$F$45*0.4*$F$62))))</f>
        <v>0</v>
      </c>
      <c r="F62" s="559">
        <v>0.125</v>
      </c>
      <c r="G62" s="331">
        <f>-ROUND(IF($C$10&lt;&gt;"PARA ASALARIADOS CON CATEGORÍA DE EMPLEADOS",IF(G63&lt;0,0,-IF($F$45*0.4&gt;Datos!H34,Datos!H34*$F$62,$F$45*0.4*$F$62)),IF(G63&lt;0,0,-IF($F$45*0.4&gt;Datos!H34,Datos!H34*$F$62,$F$45*0.4*$F$62))),-2)</f>
        <v>0</v>
      </c>
      <c r="H62" s="489"/>
      <c r="I62" s="275"/>
      <c r="J62" s="275"/>
      <c r="K62" s="331">
        <f>IF($C$10&lt;&gt;"PARA ASALARIADOS CON CATEGORÍA DE EMPLEADOS",IF(K63&lt;0,0,-IF($F$45*0.4&gt;$N$53,$N$53*$F$62,$F$45*0.4*$F$62)),IF(K63&lt;0,0,-IF($F$45*0.4&gt;$N$53,$N$53*$F$62,$F$45*0.4*$F$62)))</f>
        <v>0</v>
      </c>
      <c r="L62" s="275"/>
      <c r="M62" s="331">
        <f>IF(C10="PARA TRABAJADORES INDEPENDIENTES SIN CATEGORÍA DE EMPLEADOS",0,IF($C$10&lt;&gt;"PARA ASALARIADOS CON CATEGORÍA DE EMPLEADOS",IF(M63&lt;0,0,-IF($F$45*0.4&gt;$N$53,$N$53*$F$62,$F$45*0.4*$F$62)),IF(M63&lt;0,0,-IF($F$45*0.4&gt;$N$53,$N$53*$F$62,$F$45*0.4*$F$62))))</f>
        <v>0</v>
      </c>
      <c r="O62" s="217">
        <f>+G65+G75</f>
        <v>0</v>
      </c>
      <c r="R62" s="687"/>
    </row>
    <row r="63" spans="2:21" ht="30.95" customHeight="1" x14ac:dyDescent="0.25">
      <c r="B63" s="999">
        <f t="shared" si="1"/>
        <v>28</v>
      </c>
      <c r="C63" s="1019" t="s">
        <v>394</v>
      </c>
      <c r="D63" s="1020"/>
      <c r="E63" s="214">
        <f>IF(C10="PARA TRABAJADORES INDEPENDIENTES SIN CATEGORÍA DE EMPLEADOS",0,G63)</f>
        <v>0</v>
      </c>
      <c r="F63" s="559"/>
      <c r="G63" s="1000">
        <v>0</v>
      </c>
      <c r="H63" s="489"/>
      <c r="I63" s="592"/>
      <c r="J63" s="524"/>
      <c r="K63" s="280">
        <f>+E63</f>
        <v>0</v>
      </c>
      <c r="L63" s="215"/>
      <c r="M63" s="280">
        <f>IF(C10="PARA TRABAJADORES INDEPENDIENTES SIN CATEGORÍA DE EMPLEADOS",0,G63)</f>
        <v>0</v>
      </c>
      <c r="O63" s="217"/>
    </row>
    <row r="64" spans="2:21" x14ac:dyDescent="0.25">
      <c r="B64" s="904">
        <f t="shared" si="1"/>
        <v>29</v>
      </c>
      <c r="C64" s="285" t="s">
        <v>160</v>
      </c>
      <c r="D64" s="489"/>
      <c r="E64" s="330">
        <f>IF(C10="PARA TRABAJADORES INDEPENDIENTES SIN CATEGORÍA DE EMPLEADOS",0,IF(F44&gt;0,IF(E66&lt;0,0,-IF($F$44&gt;$N$53,$N$53*$F$64,$F$44*$F$64)),0))</f>
        <v>0</v>
      </c>
      <c r="F64" s="559">
        <f>IF(APPensiones!J18=0,APPensiones!J19,APPensiones!J18)</f>
        <v>0.04</v>
      </c>
      <c r="G64" s="331">
        <f>-ROUND(IF(F48&gt;0,IF(G66&lt;0,0,IF(SUM(F31:F37)&gt;Datos!H34,Datos!H34*F64,SUM(F31:F37)*$F$64)),0),-2)</f>
        <v>0</v>
      </c>
      <c r="H64" s="489"/>
      <c r="I64" s="275"/>
      <c r="J64" s="275"/>
      <c r="K64" s="331">
        <f>IF(F44&gt;0,IF(K66&lt;0,0,-IF($F$44&gt;$N$53,$N$53*$F$64,$F$44*$F$64)),0)</f>
        <v>0</v>
      </c>
      <c r="L64" s="275"/>
      <c r="M64" s="331">
        <f>IF($C$10="PARA TRABAJADORES INDEPENDIENTES SIN CATEGORÍA DE EMPLEADOS",0,IF(F44&gt;0,IF(M66&lt;0,0,-IF($F$44&gt;$N$53,$N$53*$F$64,$F$44*$F$64)),0))</f>
        <v>0</v>
      </c>
      <c r="N64" s="687">
        <f>+G16*3800</f>
        <v>121064200</v>
      </c>
      <c r="O64" s="687">
        <f>IF((F51+F52)&gt;O59,O59,F51+F52)</f>
        <v>0</v>
      </c>
      <c r="R64" s="687"/>
      <c r="U64" s="741"/>
    </row>
    <row r="65" spans="2:21" hidden="1" x14ac:dyDescent="0.25">
      <c r="B65" s="904">
        <f t="shared" si="1"/>
        <v>30</v>
      </c>
      <c r="C65" s="285" t="s">
        <v>161</v>
      </c>
      <c r="D65" s="489"/>
      <c r="E65" s="330">
        <f>IF(C10="PARA TRABAJADORES INDEPENDIENTES SIN CATEGORÍA DE EMPLEADOS",0,IF($C$10&lt;&gt;"PARA ASALARIADOS CON CATEGORÍA DE EMPLEADOS",IF(E66&lt;0,0,-IF($F$45*0.4&gt;$N$53,$N$53*$F$65,$F$45*0.4*$F$65)),IF(E66&lt;0,0,-IF($F$45*0.4&gt;$N$53,$N$53*$F$65,$F$45*0.4*$F$65))))</f>
        <v>0</v>
      </c>
      <c r="F65" s="559">
        <f>IF(C14="PARA ASALARIADOS CON CATEGORÍA DE EMPLEADOS",IF(APPensiones!J48&gt;0,APPensiones!J48,APPensiones!J49),IF(APPensiones!J48&gt;0,APPensiones!J48,APPensiones!J49)+12%)</f>
        <v>0.16</v>
      </c>
      <c r="G65" s="331">
        <f>IF($C$10&lt;&gt;"PARA ASALARIADOS CON CATEGORÍA DE EMPLEADOS",IF(G66&lt;0,0,-IF($F$45*0.4&gt;$N$53,$N$53*$F$65,$F$45*0.4*$F$65)),IF(G66&lt;0,0,-IF($F$45*0.4&gt;$N$53,$N$53*$F$65,$F$45*0.4*$F$65)))</f>
        <v>0</v>
      </c>
      <c r="H65" s="489"/>
      <c r="I65" s="275"/>
      <c r="J65" s="275"/>
      <c r="K65" s="331">
        <f>IF($C$10&lt;&gt;"PARA ASALARIADOS CON CATEGORÍA DE EMPLEADOS",IF(K66&lt;0,0,-IF($F$45*0.4&gt;$N$53,$N$53*$F$65,$F$45*0.4*$F$65)),IF(K66&lt;0,0,-IF($F$45*0.4&gt;$N$53,$N$53*$F$65,$F$45*0.4*$F$65)))</f>
        <v>0</v>
      </c>
      <c r="L65" s="275"/>
      <c r="M65" s="331">
        <f>IF(C10="PARA TRABAJADORES INDEPENDIENTES SIN CATEGORÍA DE EMPLEADOS",0,IF($C$10&lt;&gt;"PARA ASALARIADOS CON CATEGORÍA DE EMPLEADOS",IF(M66&lt;0,0,-IF($F$45*0.4&gt;$N$53,$N$53*$F$65,$F$45*0.4*$F$65)),IF(M66&lt;0,0,-IF($F$45*0.4&gt;$N$53,$N$53*$F$65,$F$45*0.4*$F$65))))</f>
        <v>0</v>
      </c>
      <c r="N65" s="687">
        <f>+G17*3800</f>
        <v>2803324600</v>
      </c>
      <c r="O65" s="687">
        <f>IF((F52+E55)&gt;O64,O64,F52+E55)</f>
        <v>0</v>
      </c>
      <c r="R65" s="687"/>
    </row>
    <row r="66" spans="2:21" ht="30.95" customHeight="1" thickBot="1" x14ac:dyDescent="0.3">
      <c r="B66" s="999">
        <f>+B64+1</f>
        <v>30</v>
      </c>
      <c r="C66" s="1019" t="s">
        <v>395</v>
      </c>
      <c r="D66" s="1020"/>
      <c r="E66" s="214">
        <f>IF(C10="PARA TRABAJADORES INDEPENDIENTES SIN CATEGORÍA DE EMPLEADOS",0,G66)</f>
        <v>0</v>
      </c>
      <c r="F66" s="559"/>
      <c r="G66" s="1000">
        <v>0</v>
      </c>
      <c r="H66" s="489"/>
      <c r="I66" s="592"/>
      <c r="J66" s="524"/>
      <c r="K66" s="280">
        <f>+E66</f>
        <v>0</v>
      </c>
      <c r="L66" s="215"/>
      <c r="M66" s="280">
        <f>IF(C10="PARA TRABAJADORES INDEPENDIENTES SIN CATEGORÍA DE EMPLEADOS",0,G66)</f>
        <v>0</v>
      </c>
      <c r="O66" s="687"/>
      <c r="R66" s="687"/>
    </row>
    <row r="67" spans="2:21" ht="15.75" hidden="1" thickBot="1" x14ac:dyDescent="0.3">
      <c r="B67" s="905">
        <f t="shared" si="1"/>
        <v>31</v>
      </c>
      <c r="C67" s="868" t="s">
        <v>121</v>
      </c>
      <c r="D67" s="869"/>
      <c r="E67" s="870">
        <f>IF(C10="PARA TRABAJADORES INDEPENDIENTES SIN CATEGORÍA DE EMPLEADOS",0,IF($C$10="PARA ASALARIADOS CON CATEGORÍA DE EMPLEADOS",0,IF(E68&lt;0,0,-IF($F$45*0.4&gt;$N$53,$N$53*$F$67,$F$45*0.4*$F$67))))</f>
        <v>0</v>
      </c>
      <c r="F67" s="871">
        <v>5.2199999999999998E-3</v>
      </c>
      <c r="G67" s="872">
        <f>IF($C$10="PARA ASALARIADOS CON CATEGORÍA DE EMPLEADOS",0,IF(G68&lt;0,0,-IF($F$45*0.4&gt;$N$53,$N$53*$F$67,$F$45*0.4*$F$67)))</f>
        <v>0</v>
      </c>
      <c r="H67" s="489"/>
      <c r="I67" s="275"/>
      <c r="J67" s="275"/>
      <c r="K67" s="331">
        <f>IF($C$10="PARA ASALARIADOS CON CATEGORÍA DE EMPLEADOS",0,IF(K68&lt;0,0,-IF($F$45*0.4&gt;$N$53,$N$53*$F$67,$F$45*0.4*$F$67)))</f>
        <v>0</v>
      </c>
      <c r="L67" s="275"/>
      <c r="M67" s="331">
        <f>IF(C10="PARA TRABAJADORES INDEPENDIENTES SIN CATEGORÍA DE EMPLEADOS",0,IF($C$10="PARA ASALARIADOS CON CATEGORÍA DE EMPLEADOS",0,IF(M68&lt;0,0,-IF($F$45*0.4&gt;$N$53,$N$53*$F$67,$F$45*0.4*$F$67))))</f>
        <v>0</v>
      </c>
      <c r="O67" s="217"/>
    </row>
    <row r="68" spans="2:21" ht="15.75" hidden="1" thickBot="1" x14ac:dyDescent="0.3">
      <c r="B68" s="905">
        <f t="shared" si="1"/>
        <v>32</v>
      </c>
      <c r="C68" s="868" t="s">
        <v>119</v>
      </c>
      <c r="D68" s="869"/>
      <c r="E68" s="870">
        <f>IF(C10="PARA TRABAJADORES INDEPENDIENTES SIN CATEGORÍA DE EMPLEADOS",0,G68)</f>
        <v>0</v>
      </c>
      <c r="F68" s="873"/>
      <c r="G68" s="874">
        <v>0</v>
      </c>
      <c r="H68" s="489"/>
      <c r="I68" s="592"/>
      <c r="J68" s="524"/>
      <c r="K68" s="280">
        <f>+E68</f>
        <v>0</v>
      </c>
      <c r="L68" s="215"/>
      <c r="M68" s="280">
        <f>IF(C10="PARA TRABAJADORES INDEPENDIENTES SIN CATEGORÍA DE EMPLEADOS",0,G68)</f>
        <v>0</v>
      </c>
      <c r="O68" s="217"/>
    </row>
    <row r="69" spans="2:21" ht="15.75" thickBot="1" x14ac:dyDescent="0.3">
      <c r="B69" s="898">
        <f>+B66+1</f>
        <v>31</v>
      </c>
      <c r="C69" s="760" t="s">
        <v>356</v>
      </c>
      <c r="D69" s="756"/>
      <c r="E69" s="757"/>
      <c r="F69" s="762"/>
      <c r="G69" s="759">
        <f>SUM(G59:G68)</f>
        <v>0</v>
      </c>
      <c r="H69" s="489"/>
      <c r="I69" s="544"/>
      <c r="J69" s="525"/>
      <c r="K69" s="506"/>
      <c r="L69" s="323"/>
      <c r="M69" s="502"/>
      <c r="O69" s="217"/>
      <c r="R69" s="687"/>
      <c r="S69" s="687"/>
    </row>
    <row r="70" spans="2:21" ht="15.75" hidden="1" thickBot="1" x14ac:dyDescent="0.3">
      <c r="B70" s="899">
        <f t="shared" si="1"/>
        <v>32</v>
      </c>
      <c r="C70" s="751" t="s">
        <v>223</v>
      </c>
      <c r="D70" s="752"/>
      <c r="E70" s="753"/>
      <c r="F70" s="754"/>
      <c r="G70" s="755"/>
      <c r="H70" s="489"/>
      <c r="I70" s="545"/>
      <c r="J70" s="275"/>
      <c r="K70" s="331"/>
      <c r="L70" s="323"/>
      <c r="M70" s="502"/>
      <c r="O70" s="217"/>
      <c r="R70" s="687"/>
      <c r="S70" s="687"/>
    </row>
    <row r="71" spans="2:21" s="610" customFormat="1" hidden="1" x14ac:dyDescent="0.25">
      <c r="B71" s="900">
        <f t="shared" si="1"/>
        <v>33</v>
      </c>
      <c r="C71" s="602"/>
      <c r="D71" s="603"/>
      <c r="E71" s="604"/>
      <c r="F71" s="605"/>
      <c r="G71" s="606"/>
      <c r="H71" s="607"/>
      <c r="I71" s="545"/>
      <c r="J71" s="275"/>
      <c r="K71" s="331"/>
      <c r="L71" s="323"/>
      <c r="M71" s="608"/>
      <c r="N71" s="322"/>
      <c r="O71" s="609"/>
      <c r="R71" s="322"/>
      <c r="S71" s="322"/>
    </row>
    <row r="72" spans="2:21" x14ac:dyDescent="0.25">
      <c r="B72" s="904"/>
      <c r="C72" s="554" t="s">
        <v>286</v>
      </c>
      <c r="D72" s="489"/>
      <c r="E72" s="330"/>
      <c r="F72" s="213"/>
      <c r="G72" s="331"/>
      <c r="H72" s="489"/>
      <c r="I72" s="275"/>
      <c r="J72" s="275"/>
      <c r="K72" s="331"/>
      <c r="L72" s="323"/>
      <c r="M72" s="502"/>
      <c r="O72" s="217"/>
      <c r="R72" s="687"/>
      <c r="S72" s="687"/>
    </row>
    <row r="73" spans="2:21" x14ac:dyDescent="0.25">
      <c r="B73" s="904">
        <f>+B69+1</f>
        <v>32</v>
      </c>
      <c r="C73" s="555" t="s">
        <v>207</v>
      </c>
      <c r="D73" s="489"/>
      <c r="E73" s="330"/>
      <c r="F73" s="213"/>
      <c r="G73" s="578">
        <v>0</v>
      </c>
      <c r="H73" s="489"/>
      <c r="I73" s="592"/>
      <c r="J73" s="275"/>
      <c r="K73" s="331"/>
      <c r="L73" s="323"/>
      <c r="M73" s="502"/>
      <c r="O73" s="217"/>
      <c r="R73" s="687"/>
      <c r="S73" s="687"/>
    </row>
    <row r="74" spans="2:21" ht="15.75" thickBot="1" x14ac:dyDescent="0.3">
      <c r="B74" s="904"/>
      <c r="C74" s="554" t="s">
        <v>287</v>
      </c>
      <c r="D74" s="489"/>
      <c r="E74" s="330"/>
      <c r="F74" s="559"/>
      <c r="G74" s="529"/>
      <c r="H74" s="489"/>
      <c r="I74" s="545"/>
      <c r="J74" s="275"/>
      <c r="K74" s="331"/>
      <c r="L74" s="323"/>
      <c r="M74" s="502"/>
      <c r="O74" s="217"/>
      <c r="R74" s="687"/>
      <c r="S74" s="687"/>
    </row>
    <row r="75" spans="2:21" ht="15.75" thickTop="1" x14ac:dyDescent="0.25">
      <c r="B75" s="904">
        <f>+B73+1</f>
        <v>33</v>
      </c>
      <c r="C75" s="285" t="s">
        <v>8</v>
      </c>
      <c r="D75" s="489"/>
      <c r="E75" s="214">
        <v>0</v>
      </c>
      <c r="F75" s="218">
        <v>16</v>
      </c>
      <c r="G75" s="280">
        <f>-F53</f>
        <v>0</v>
      </c>
      <c r="H75" s="489"/>
      <c r="I75" s="524"/>
      <c r="J75" s="524"/>
      <c r="K75" s="280">
        <v>0</v>
      </c>
      <c r="L75" s="215"/>
      <c r="M75" s="280">
        <f>IF(C10="PARA TRABAJADORES INDEPENDIENTES SIN CATEGORÍA DE EMPLEADOS",0,-IF($F$53&gt;$F$75*$G$16,$F$75*$G$16,$F$53))</f>
        <v>0</v>
      </c>
      <c r="P75" s="154" t="e">
        <f>IF(O59&lt;IF((+M59-M82)&gt;0,0,-(+M59-M82)),IF(-(+M59-M82)&gt;0,0,-(+M59-M82)),-O59-M64)</f>
        <v>#REF!</v>
      </c>
      <c r="U75" s="747" t="s">
        <v>304</v>
      </c>
    </row>
    <row r="76" spans="2:21" x14ac:dyDescent="0.25">
      <c r="B76" s="904">
        <f t="shared" si="1"/>
        <v>34</v>
      </c>
      <c r="C76" s="285" t="s">
        <v>114</v>
      </c>
      <c r="D76" s="489"/>
      <c r="E76" s="214">
        <v>0</v>
      </c>
      <c r="F76" s="218">
        <v>100</v>
      </c>
      <c r="G76" s="280">
        <f>-F54</f>
        <v>0</v>
      </c>
      <c r="H76" s="489"/>
      <c r="I76" s="524"/>
      <c r="J76" s="524"/>
      <c r="K76" s="280">
        <v>0</v>
      </c>
      <c r="L76" s="215"/>
      <c r="M76" s="327" t="e">
        <f>IF(#REF!&gt;-G16*F76,#REF!,IF(#REF!&lt;0,IF(C10="PARA TRABAJADORES INDEPENDIENTES SIN CATEGORÍA DE EMPLEADOS",0,-IF($F$54&gt;$G$16*$F$76,$G$16*$F$76,$F$54)),#REF!))</f>
        <v>#REF!</v>
      </c>
      <c r="U76" s="748" t="s">
        <v>305</v>
      </c>
    </row>
    <row r="77" spans="2:21" ht="19.5" thickBot="1" x14ac:dyDescent="0.35">
      <c r="B77" s="904">
        <f t="shared" si="1"/>
        <v>35</v>
      </c>
      <c r="C77" s="285" t="s">
        <v>231</v>
      </c>
      <c r="D77" s="489"/>
      <c r="E77" s="504">
        <v>0</v>
      </c>
      <c r="F77" s="559" t="str">
        <f>+'Cálculo % Fijo de Ret.Fte.'!F77</f>
        <v>SI</v>
      </c>
      <c r="G77" s="825">
        <f>-IF($F$77="SI",-'Cálculo % Fijo de Ret.Fte.'!G77,0)</f>
        <v>0</v>
      </c>
      <c r="H77" s="689"/>
      <c r="I77" s="546"/>
      <c r="J77" s="526"/>
      <c r="K77" s="505">
        <v>0</v>
      </c>
      <c r="L77" s="215"/>
      <c r="M77" s="280">
        <f>-IF($F$77="SI",IF(M59*0.1&lt;32*$G$16,M59*0.1,32*$G$16),0)</f>
        <v>0</v>
      </c>
      <c r="O77" s="687"/>
      <c r="R77" s="687"/>
      <c r="U77" s="749">
        <f>ROUND(IF(U80&lt;F52+F51,-(F52+F51)+U80,G80+U80),-3)</f>
        <v>0</v>
      </c>
    </row>
    <row r="78" spans="2:21" ht="15.75" customHeight="1" thickBot="1" x14ac:dyDescent="0.3">
      <c r="B78" s="904"/>
      <c r="C78" s="554" t="s">
        <v>295</v>
      </c>
      <c r="D78" s="489"/>
      <c r="E78" s="330"/>
      <c r="F78" s="213"/>
      <c r="G78" s="331"/>
      <c r="H78" s="489"/>
      <c r="I78" s="275"/>
      <c r="J78" s="275"/>
      <c r="K78" s="331"/>
      <c r="L78" s="323"/>
      <c r="M78" s="502"/>
      <c r="O78" s="217"/>
      <c r="R78" s="687"/>
      <c r="S78" s="687"/>
      <c r="U78" s="748" t="s">
        <v>293</v>
      </c>
    </row>
    <row r="79" spans="2:21" ht="15.75" hidden="1" customHeight="1" x14ac:dyDescent="0.3">
      <c r="B79" s="906">
        <f t="shared" si="1"/>
        <v>1</v>
      </c>
      <c r="C79" s="489"/>
      <c r="D79" s="489"/>
      <c r="E79" s="489"/>
      <c r="F79" s="489"/>
      <c r="G79" s="550"/>
      <c r="H79" s="489"/>
      <c r="I79" s="524"/>
      <c r="J79" s="524"/>
      <c r="L79" s="215"/>
      <c r="M79" s="280">
        <f>IF(C10="PARA TRABAJADORES INDEPENDIENTES SIN CATEGORÍA DE EMPLEADOS",0,-IF(M88*25%/75%&gt;G16*F83,G16*F83,M88*25%/75%))</f>
        <v>0</v>
      </c>
      <c r="Q79" s="566"/>
    </row>
    <row r="80" spans="2:21" ht="19.5" thickBot="1" x14ac:dyDescent="0.35">
      <c r="B80" s="904">
        <f>+B77+1</f>
        <v>36</v>
      </c>
      <c r="C80" s="285" t="s">
        <v>354</v>
      </c>
      <c r="D80" s="750" t="str">
        <f>IF(U77=0,"O.K.","NO")</f>
        <v>O.K.</v>
      </c>
      <c r="E80" s="319">
        <v>0</v>
      </c>
      <c r="F80" s="559">
        <v>0.3</v>
      </c>
      <c r="G80" s="331">
        <f>ROUND(IF(-IF(+F51+F52&gt;G59*0.3,G59*0.3,F51+F52)&lt;-Datos!G26,-Datos!G26,-IF(+F51+F52&gt;G59*0.3,G59*0.3,+F51+F52)),-3)</f>
        <v>0</v>
      </c>
      <c r="H80" s="728"/>
      <c r="I80" s="275"/>
      <c r="J80" s="275"/>
      <c r="K80" s="331">
        <v>0</v>
      </c>
      <c r="L80" s="323"/>
      <c r="M80" s="327" t="e">
        <f>IF(IF(IF(#REF!&gt;0,0,+#REF!)&lt;-N80,-N80-M64-M65-M66,IF(#REF!&gt;0,0,+#REF!))&lt;-M59*0.3,-M59*0.3-M64-M65-M66,IF(IF(#REF!&gt;0,0,+#REF!)&lt;-N80,-N80-M64-M65-M66,IF(#REF!&gt;0,0,+#REF!)))</f>
        <v>#REF!</v>
      </c>
      <c r="N80" s="727"/>
      <c r="O80" s="687" t="e">
        <f>+M64+M80</f>
        <v>#REF!</v>
      </c>
      <c r="P80" s="154" t="e">
        <f>IF(O59&lt;IF((+M59+M64+M61+M75+M76+M77-M82)&gt;0,0,-(+M59+M64+M61+M75+M76+M77-M82)),IF(-(+M59+M64+M61+M75+M76+M77-M82)&gt;0,0,-(+M59+M64+M61+M75+M76+M77-M82)),-O59-M64)</f>
        <v>#REF!</v>
      </c>
      <c r="R80" s="687"/>
      <c r="S80" s="687"/>
      <c r="U80" s="749">
        <f>ROUND(IF(G59*0.3&gt;Datos!G27,Datos!G27,IF((F51+F52)&gt;G59*0.3,G59*0.3,G59*0.3)),-3)</f>
        <v>0</v>
      </c>
    </row>
    <row r="81" spans="2:22" ht="15.75" thickBot="1" x14ac:dyDescent="0.3">
      <c r="B81" s="904">
        <f t="shared" si="1"/>
        <v>37</v>
      </c>
      <c r="C81" s="285" t="s">
        <v>288</v>
      </c>
      <c r="D81" s="489"/>
      <c r="E81" s="330"/>
      <c r="F81" s="559"/>
      <c r="G81" s="579">
        <v>0</v>
      </c>
      <c r="H81" s="728"/>
      <c r="I81" s="275"/>
      <c r="J81" s="275"/>
      <c r="K81" s="331"/>
      <c r="L81" s="323"/>
      <c r="M81" s="502"/>
      <c r="O81" s="217"/>
      <c r="R81" s="687"/>
      <c r="S81" s="687"/>
      <c r="U81" s="742"/>
      <c r="V81" s="742"/>
    </row>
    <row r="82" spans="2:22" ht="15.75" thickBot="1" x14ac:dyDescent="0.3">
      <c r="B82" s="901">
        <f t="shared" si="1"/>
        <v>38</v>
      </c>
      <c r="C82" s="760" t="s">
        <v>357</v>
      </c>
      <c r="D82" s="756"/>
      <c r="E82" s="757">
        <f>SUM(E59:E81)</f>
        <v>0</v>
      </c>
      <c r="F82" s="758"/>
      <c r="G82" s="759">
        <f>SUM(G69:G81)</f>
        <v>0</v>
      </c>
      <c r="H82" s="489"/>
      <c r="I82" s="547"/>
      <c r="J82" s="524"/>
      <c r="K82" s="216">
        <f>IF(SUM(K59:K81)&lt;0,0,SUM(K59:K81))</f>
        <v>0</v>
      </c>
      <c r="L82" s="266"/>
      <c r="M82" s="281" t="e">
        <f>IF(+M88-M79=0,SUM(M59:M81),+M88-M79)</f>
        <v>#REF!</v>
      </c>
      <c r="N82" s="687" t="e">
        <f>SUM(M59:M81)</f>
        <v>#REF!</v>
      </c>
      <c r="O82" s="687" t="e">
        <f>ROUND(+M82-N82,0)</f>
        <v>#REF!</v>
      </c>
      <c r="U82" s="741"/>
    </row>
    <row r="83" spans="2:22" ht="15.75" thickBot="1" x14ac:dyDescent="0.3">
      <c r="B83" s="907">
        <f t="shared" si="1"/>
        <v>39</v>
      </c>
      <c r="C83" s="494" t="s">
        <v>347</v>
      </c>
      <c r="D83" s="730"/>
      <c r="E83" s="214">
        <v>0</v>
      </c>
      <c r="F83" s="218">
        <v>240</v>
      </c>
      <c r="G83" s="280">
        <f>ROUND(-IF(G82*25%&gt;G16*F83,G16*F83,G82*25%),-3)</f>
        <v>0</v>
      </c>
      <c r="H83" s="489"/>
      <c r="I83" s="547"/>
      <c r="J83" s="524"/>
      <c r="K83" s="216"/>
      <c r="L83" s="215"/>
      <c r="M83" s="745"/>
      <c r="O83" s="687"/>
      <c r="U83" s="746"/>
    </row>
    <row r="84" spans="2:22" ht="15.75" thickBot="1" x14ac:dyDescent="0.3">
      <c r="B84" s="901">
        <f t="shared" si="1"/>
        <v>40</v>
      </c>
      <c r="C84" s="760" t="s">
        <v>358</v>
      </c>
      <c r="D84" s="756"/>
      <c r="E84" s="757">
        <f>SUM(E61:E83)</f>
        <v>0</v>
      </c>
      <c r="F84" s="758"/>
      <c r="G84" s="759">
        <f>SUM(G82:G83)</f>
        <v>0</v>
      </c>
      <c r="H84" s="489"/>
      <c r="I84" s="547"/>
      <c r="J84" s="524"/>
      <c r="K84" s="216"/>
      <c r="L84" s="215"/>
      <c r="M84" s="745"/>
      <c r="O84" s="687"/>
      <c r="U84" s="742"/>
    </row>
    <row r="85" spans="2:22" x14ac:dyDescent="0.25">
      <c r="B85" s="907">
        <f t="shared" si="1"/>
        <v>41</v>
      </c>
      <c r="C85" s="494" t="s">
        <v>290</v>
      </c>
      <c r="D85" s="489"/>
      <c r="E85" s="214"/>
      <c r="F85" s="731">
        <f>-(G80+G81+G75+G76+G77+G83)</f>
        <v>0</v>
      </c>
      <c r="G85" s="280"/>
      <c r="H85" s="489"/>
      <c r="I85" s="524"/>
      <c r="J85" s="524"/>
      <c r="K85" s="216">
        <f>IF(C10="PARA TRABAJADORES INDEPENDIENTES SIN CATEGORÍA DE EMPLEADOS",0,IF(C10="PARA TRABAJADORES INDEPENDIENTES SIN CATEGORÍA DE EMPLEADOS",0,-IF(K82*25%&gt;G16*F83,G16*F83,K82*25%)))</f>
        <v>0</v>
      </c>
      <c r="L85" s="215"/>
      <c r="M85" s="280"/>
      <c r="Q85" s="729"/>
      <c r="U85" s="742"/>
    </row>
    <row r="86" spans="2:22" x14ac:dyDescent="0.25">
      <c r="B86" s="907">
        <f t="shared" si="1"/>
        <v>42</v>
      </c>
      <c r="C86" s="494" t="s">
        <v>359</v>
      </c>
      <c r="D86" s="489"/>
      <c r="E86" s="214"/>
      <c r="F86" s="731">
        <f>G69*0.4</f>
        <v>0</v>
      </c>
      <c r="G86" s="280"/>
      <c r="H86" s="489"/>
      <c r="I86" s="524"/>
      <c r="J86" s="524"/>
      <c r="K86" s="524"/>
      <c r="L86" s="215"/>
      <c r="M86" s="280"/>
      <c r="Q86" s="729"/>
    </row>
    <row r="87" spans="2:22" ht="15.75" thickBot="1" x14ac:dyDescent="0.3">
      <c r="B87" s="907">
        <f t="shared" si="1"/>
        <v>43</v>
      </c>
      <c r="C87" s="494" t="s">
        <v>368</v>
      </c>
      <c r="D87" s="489"/>
      <c r="E87" s="214"/>
      <c r="F87" s="218"/>
      <c r="G87" s="280">
        <f>IF(F85&gt;F86,+F85-F86,0)</f>
        <v>0</v>
      </c>
      <c r="H87" s="489"/>
      <c r="I87" s="524"/>
      <c r="J87" s="524"/>
      <c r="K87" s="524"/>
      <c r="L87" s="215"/>
      <c r="M87" s="280"/>
      <c r="Q87" s="729"/>
    </row>
    <row r="88" spans="2:22" ht="15.75" thickBot="1" x14ac:dyDescent="0.3">
      <c r="B88" s="901">
        <f t="shared" si="1"/>
        <v>44</v>
      </c>
      <c r="C88" s="760" t="s">
        <v>360</v>
      </c>
      <c r="D88" s="761"/>
      <c r="E88" s="757">
        <f>+E82+E83</f>
        <v>0</v>
      </c>
      <c r="F88" s="758"/>
      <c r="G88" s="759">
        <f>+G84+G87</f>
        <v>0</v>
      </c>
      <c r="H88" s="489"/>
      <c r="I88" s="545"/>
      <c r="J88" s="275"/>
      <c r="K88" s="331">
        <f>+K82+K85</f>
        <v>0</v>
      </c>
      <c r="L88" s="323"/>
      <c r="M88" s="502">
        <f>+M91*G16</f>
        <v>0</v>
      </c>
      <c r="O88" s="687" t="s">
        <v>144</v>
      </c>
      <c r="P88" s="154" t="s">
        <v>145</v>
      </c>
      <c r="R88" s="687"/>
      <c r="S88" s="687"/>
      <c r="U88" s="741"/>
    </row>
    <row r="89" spans="2:22" hidden="1" x14ac:dyDescent="0.25">
      <c r="B89" s="904">
        <f t="shared" si="1"/>
        <v>45</v>
      </c>
      <c r="C89" s="602"/>
      <c r="D89" s="603"/>
      <c r="E89" s="604"/>
      <c r="F89" s="605"/>
      <c r="G89" s="606"/>
      <c r="H89" s="489"/>
      <c r="I89" s="545"/>
      <c r="J89" s="275"/>
      <c r="K89" s="275"/>
      <c r="L89" s="323"/>
      <c r="M89" s="502"/>
      <c r="O89" s="687"/>
      <c r="R89" s="687"/>
      <c r="S89" s="687"/>
      <c r="U89" s="741"/>
    </row>
    <row r="90" spans="2:22" hidden="1" x14ac:dyDescent="0.25">
      <c r="B90" s="902">
        <f t="shared" si="1"/>
        <v>46</v>
      </c>
      <c r="C90" s="602"/>
      <c r="D90" s="603"/>
      <c r="E90" s="604"/>
      <c r="F90" s="605"/>
      <c r="G90" s="606"/>
      <c r="H90" s="489"/>
      <c r="I90" s="545"/>
      <c r="J90" s="275"/>
      <c r="K90" s="275"/>
      <c r="L90" s="323"/>
      <c r="M90" s="502"/>
      <c r="O90" s="687"/>
      <c r="R90" s="687"/>
      <c r="S90" s="687"/>
      <c r="U90" s="741"/>
    </row>
    <row r="91" spans="2:22" x14ac:dyDescent="0.25">
      <c r="B91" s="907">
        <f>+B88+1</f>
        <v>45</v>
      </c>
      <c r="C91" s="285" t="s">
        <v>361</v>
      </c>
      <c r="D91" s="489"/>
      <c r="E91" s="220">
        <f>+E88/$G$16</f>
        <v>0</v>
      </c>
      <c r="F91" s="209"/>
      <c r="G91" s="282">
        <f>IF(G88&gt;0,G88/$G$16,0)</f>
        <v>0</v>
      </c>
      <c r="H91" s="489"/>
      <c r="I91" s="548"/>
      <c r="J91" s="527"/>
      <c r="K91" s="222">
        <f>IF(E10="PARA TRABAJADORES INDEPENDIENTES SIN CATEGORÍA DE EMPLEADOS",0,+K88/$G$16)</f>
        <v>0</v>
      </c>
      <c r="L91" s="221"/>
      <c r="M91" s="282">
        <f>IF(C10="PARA TRABAJADORES INDEPENDIENTES sin CATEGORÍA DE EMPLEADOS",0,VLOOKUP(N91,'RF Ordinaria'!G23:H26,2,FALSE))</f>
        <v>0</v>
      </c>
      <c r="N91" s="223" t="s">
        <v>112</v>
      </c>
      <c r="O91" s="341">
        <f>+M88</f>
        <v>0</v>
      </c>
      <c r="P91" s="341">
        <f>+M88</f>
        <v>0</v>
      </c>
      <c r="S91" s="689"/>
    </row>
    <row r="92" spans="2:22" ht="15.75" thickBot="1" x14ac:dyDescent="0.3">
      <c r="B92" s="924">
        <f>+B91+1</f>
        <v>46</v>
      </c>
      <c r="C92" s="285" t="s">
        <v>282</v>
      </c>
      <c r="D92" s="489"/>
      <c r="E92" s="220">
        <f>+E91/$G$16</f>
        <v>0</v>
      </c>
      <c r="F92" s="209"/>
      <c r="G92" s="688">
        <f>+'Cálculo % Fijo de Ret.Fte.'!G91</f>
        <v>0</v>
      </c>
      <c r="H92" s="489"/>
      <c r="I92" s="549"/>
      <c r="J92" s="527"/>
      <c r="K92" s="222"/>
      <c r="L92" s="221"/>
      <c r="M92" s="282"/>
      <c r="N92" s="223"/>
      <c r="O92" s="341"/>
      <c r="P92" s="341"/>
    </row>
    <row r="93" spans="2:22" ht="15.75" thickBot="1" x14ac:dyDescent="0.3">
      <c r="B93" s="925">
        <f>+B92+1</f>
        <v>47</v>
      </c>
      <c r="C93" s="700" t="s">
        <v>292</v>
      </c>
      <c r="D93" s="701"/>
      <c r="E93" s="702"/>
      <c r="F93" s="703"/>
      <c r="G93" s="734">
        <f>+G91*G92</f>
        <v>0</v>
      </c>
      <c r="H93" s="512"/>
      <c r="I93" s="564"/>
      <c r="J93" s="711">
        <f>IF(C10="PARA TRABAJADORES INDEPENDIENTES SIN CATEGORÍA DE EMPLEADOS",0,+'RF Ordinaria'!F36)</f>
        <v>0</v>
      </c>
      <c r="K93" s="712">
        <f>IF(C10="PARA TRABAJADORES INDEPENDIENTES SIN CATEGORÍA DE EMPLEADOS",K88*#REF!,+J93*G16)</f>
        <v>0</v>
      </c>
      <c r="L93" s="713">
        <f>+F93</f>
        <v>0</v>
      </c>
      <c r="M93" s="714">
        <f>+E93</f>
        <v>0</v>
      </c>
      <c r="N93" s="277"/>
      <c r="O93" s="341">
        <f>+M79</f>
        <v>0</v>
      </c>
      <c r="P93" s="341">
        <f>+M79</f>
        <v>0</v>
      </c>
    </row>
    <row r="94" spans="2:22" ht="15.75" thickBot="1" x14ac:dyDescent="0.3">
      <c r="B94" s="918">
        <f>+B93+1</f>
        <v>48</v>
      </c>
      <c r="C94" s="696"/>
      <c r="D94" s="697"/>
      <c r="E94" s="697"/>
      <c r="F94" s="830" t="s">
        <v>364</v>
      </c>
      <c r="G94" s="829">
        <f>+G93*G16</f>
        <v>0</v>
      </c>
      <c r="N94" s="268" t="s">
        <v>125</v>
      </c>
    </row>
    <row r="95" spans="2:22" ht="18" x14ac:dyDescent="0.25">
      <c r="G95" s="689"/>
      <c r="N95" s="270">
        <v>3.5000000000000003E-2</v>
      </c>
      <c r="O95" s="226"/>
    </row>
    <row r="96" spans="2:22" x14ac:dyDescent="0.25">
      <c r="N96" s="270">
        <v>0.04</v>
      </c>
    </row>
    <row r="97" spans="14:14" x14ac:dyDescent="0.25">
      <c r="N97" s="270">
        <v>0.06</v>
      </c>
    </row>
    <row r="98" spans="14:14" x14ac:dyDescent="0.25">
      <c r="N98" s="270">
        <v>0.1</v>
      </c>
    </row>
    <row r="99" spans="14:14" x14ac:dyDescent="0.25">
      <c r="N99" s="270">
        <v>0.11</v>
      </c>
    </row>
    <row r="100" spans="14:14" x14ac:dyDescent="0.25">
      <c r="N100" s="270"/>
    </row>
  </sheetData>
  <sheetProtection password="941B" sheet="1" objects="1" scenarios="1"/>
  <mergeCells count="6">
    <mergeCell ref="C66:D66"/>
    <mergeCell ref="J57:K57"/>
    <mergeCell ref="L57:M57"/>
    <mergeCell ref="B21:F21"/>
    <mergeCell ref="B24:F24"/>
    <mergeCell ref="C63:D63"/>
  </mergeCells>
  <conditionalFormatting sqref="Q85:Q87 Q79">
    <cfRule type="cellIs" dxfId="50" priority="12" stopIfTrue="1" operator="equal">
      <formula>"ERROR"</formula>
    </cfRule>
    <cfRule type="cellIs" dxfId="49" priority="13" stopIfTrue="1" operator="equal">
      <formula>"OK"</formula>
    </cfRule>
  </conditionalFormatting>
  <conditionalFormatting sqref="C55:M55">
    <cfRule type="cellIs" dxfId="48" priority="11" stopIfTrue="1" operator="equal">
      <formula>"ATENCIÓN: EL CONTRIBUYENTE TIENE LA CATEGORÍA DE EMPLEADO Y USTED ELIGIÓ A UN INDEPENDIENTE SIN CATEGORÍA DE EMPLEADO"</formula>
    </cfRule>
  </conditionalFormatting>
  <conditionalFormatting sqref="C56:M56">
    <cfRule type="cellIs" dxfId="47" priority="9" stopIfTrue="1" operator="equal">
      <formula>"ATENCIÓN: EL CONTRIBUYENTE ES INDEPENDIENTE CON CATEGORÍA DE EMPLEADO Y USTED ELIGIÓ A UN ASALARIADO CON CATEGORÍA DE EMPLEADO"</formula>
    </cfRule>
    <cfRule type="cellIs" dxfId="46" priority="10" stopIfTrue="1" operator="equal">
      <formula>"ATENCIÓN: ELIJA LA OPCIÓN ADECUADA SEGÚN EL MONTO DE LOS INGRESOS"</formula>
    </cfRule>
  </conditionalFormatting>
  <conditionalFormatting sqref="D80">
    <cfRule type="cellIs" dxfId="45" priority="7" operator="equal">
      <formula>"NO"</formula>
    </cfRule>
    <cfRule type="cellIs" dxfId="44" priority="8" operator="equal">
      <formula>"O.K."</formula>
    </cfRule>
  </conditionalFormatting>
  <conditionalFormatting sqref="B55">
    <cfRule type="cellIs" dxfId="43" priority="3" stopIfTrue="1" operator="equal">
      <formula>"ATENCIÓN: EL CONTRIBUYENTE TIENE LA CATEGORÍA DE EMPLEADO Y USTED ELIGIÓ A UN INDEPENDIENTE SIN CATEGORÍA DE EMPLEADO"</formula>
    </cfRule>
  </conditionalFormatting>
  <conditionalFormatting sqref="B56">
    <cfRule type="cellIs" dxfId="42" priority="1" stopIfTrue="1" operator="equal">
      <formula>"ATENCIÓN: EL CONTRIBUYENTE ES INDEPENDIENTE CON CATEGORÍA DE EMPLEADO Y USTED ELIGIÓ A UN ASALARIADO CON CATEGORÍA DE EMPLEADO"</formula>
    </cfRule>
    <cfRule type="cellIs" dxfId="41" priority="2" stopIfTrue="1" operator="equal">
      <formula>"ATENCIÓN: ELIJA LA OPCIÓN ADECUADA SEGÚN EL MONTO DE LOS INGRESOS"</formula>
    </cfRule>
  </conditionalFormatting>
  <dataValidations disablePrompts="1" count="8">
    <dataValidation type="list" allowBlank="1" showInputMessage="1" showErrorMessage="1" sqref="E14">
      <formula1>$N$95:$N$100</formula1>
    </dataValidation>
    <dataValidation type="list" allowBlank="1" showInputMessage="1" showErrorMessage="1" sqref="F67">
      <formula1>_​0.522</formula1>
    </dataValidation>
    <dataValidation type="list" allowBlank="1" showInputMessage="1" showErrorMessage="1" sqref="D49">
      <formula1>$O$11:$O$14</formula1>
    </dataValidation>
    <dataValidation type="list" allowBlank="1" showInputMessage="1" showErrorMessage="1" sqref="D44">
      <formula1>$O$13:$O$14</formula1>
    </dataValidation>
    <dataValidation type="decimal" allowBlank="1" showInputMessage="1" showErrorMessage="1" errorTitle="Por favor verifique!" error="Los valores de ésta casilla deben ser negativos" sqref="G66">
      <formula1>-9.99999999999999E+40</formula1>
      <formula2>0</formula2>
    </dataValidation>
    <dataValidation type="decimal" allowBlank="1" showInputMessage="1" showErrorMessage="1" errorTitle="Por favor verifique!" error="El valor de ésta casilla debe ser negativo" sqref="G68">
      <formula1>-9.99999999999999E+35</formula1>
      <formula2>0</formula2>
    </dataValidation>
    <dataValidation type="decimal" allowBlank="1" showInputMessage="1" showErrorMessage="1" errorTitle="Por favor verifique!" error="El valor consignado en ésta casilla debe ser negativo" sqref="G73">
      <formula1>-9.99999999999999E+31</formula1>
      <formula2>0</formula2>
    </dataValidation>
    <dataValidation type="decimal" allowBlank="1" showInputMessage="1" showErrorMessage="1" errorTitle="Por favor verifique!" error="El valor de ésta casilla debe ser negativo" sqref="G63">
      <formula1>-9.99999999999999E+27</formula1>
      <formula2>0</formula2>
    </dataValidation>
  </dataValidations>
  <printOptions horizontalCentered="1" verticalCentered="1"/>
  <pageMargins left="0.70866141732283472" right="0.70866141732283472" top="0.35433070866141736" bottom="0.35433070866141736" header="0.31496062992125984" footer="0.31496062992125984"/>
  <pageSetup scale="68" orientation="portrait" horizontalDpi="360" verticalDpi="360" r:id="rId1"/>
  <rowBreaks count="1" manualBreakCount="1">
    <brk id="103" min="2" max="19"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N122"/>
  <sheetViews>
    <sheetView showGridLines="0" topLeftCell="A59" workbookViewId="0">
      <selection sqref="A1:XFD58"/>
    </sheetView>
  </sheetViews>
  <sheetFormatPr baseColWidth="10" defaultRowHeight="15" x14ac:dyDescent="0.25"/>
  <cols>
    <col min="1" max="1" width="42.28515625" customWidth="1"/>
    <col min="2" max="2" width="13.5703125" customWidth="1"/>
    <col min="3" max="3" width="14" bestFit="1" customWidth="1"/>
    <col min="4" max="4" width="13.7109375" bestFit="1" customWidth="1"/>
    <col min="5" max="5" width="12.5703125" bestFit="1" customWidth="1"/>
    <col min="6" max="6" width="12.5703125" customWidth="1"/>
    <col min="7" max="7" width="13.28515625" bestFit="1" customWidth="1"/>
    <col min="9" max="9" width="3.7109375" customWidth="1"/>
    <col min="10" max="11" width="11.5703125" style="142" customWidth="1"/>
    <col min="12" max="14" width="13.85546875" style="142" bestFit="1" customWidth="1"/>
  </cols>
  <sheetData>
    <row r="1" spans="1:14" ht="27" hidden="1" thickBot="1" x14ac:dyDescent="0.45">
      <c r="B1" s="1011" t="s">
        <v>408</v>
      </c>
    </row>
    <row r="2" spans="1:14" ht="26.25" hidden="1" thickBot="1" x14ac:dyDescent="0.3">
      <c r="C2" s="136" t="s">
        <v>69</v>
      </c>
      <c r="D2" s="137">
        <f>+'Cálculo % Fijo de Ret.Fte.'!G17</f>
        <v>737717</v>
      </c>
      <c r="J2" s="143" t="s">
        <v>81</v>
      </c>
      <c r="K2" s="143" t="s">
        <v>72</v>
      </c>
      <c r="L2" s="143" t="s">
        <v>80</v>
      </c>
      <c r="M2" s="143" t="s">
        <v>74</v>
      </c>
      <c r="N2" s="143" t="s">
        <v>75</v>
      </c>
    </row>
    <row r="3" spans="1:14" ht="15.75" hidden="1" thickBot="1" x14ac:dyDescent="0.3">
      <c r="A3" s="128" t="s">
        <v>54</v>
      </c>
      <c r="B3" s="156"/>
      <c r="C3" s="129"/>
      <c r="D3" s="129"/>
      <c r="E3" s="129"/>
      <c r="F3" s="129"/>
      <c r="G3" s="130"/>
      <c r="J3" s="159">
        <f>IF(L4&gt;C11,0,VLOOKUP(K3,B4:H11,7,FALSE))</f>
        <v>0.04</v>
      </c>
      <c r="K3" s="146">
        <v>0</v>
      </c>
      <c r="L3" s="147">
        <f>SUM('Cálculo % Fijo de Ret.Fte.'!F31:F37)/12</f>
        <v>0</v>
      </c>
    </row>
    <row r="4" spans="1:14" ht="75.75" hidden="1" thickBot="1" x14ac:dyDescent="0.3">
      <c r="A4" s="135"/>
      <c r="B4" s="158" t="s">
        <v>82</v>
      </c>
      <c r="C4" s="135" t="s">
        <v>61</v>
      </c>
      <c r="D4" s="135" t="s">
        <v>62</v>
      </c>
      <c r="E4" s="135" t="s">
        <v>64</v>
      </c>
      <c r="F4" s="135" t="s">
        <v>63</v>
      </c>
      <c r="G4" s="135" t="s">
        <v>65</v>
      </c>
      <c r="H4" s="135" t="s">
        <v>66</v>
      </c>
      <c r="J4" s="159">
        <f>IF(L4&gt;C11,H11,0)</f>
        <v>0</v>
      </c>
      <c r="K4" s="150"/>
      <c r="L4" s="147">
        <f>+L3</f>
        <v>0</v>
      </c>
    </row>
    <row r="5" spans="1:14" hidden="1" x14ac:dyDescent="0.25">
      <c r="A5" s="131" t="s">
        <v>67</v>
      </c>
      <c r="B5" s="157">
        <f>+M5-N5</f>
        <v>0</v>
      </c>
      <c r="C5" s="134">
        <v>0</v>
      </c>
      <c r="D5" s="134">
        <f>+$D$2*4-1</f>
        <v>2950867</v>
      </c>
      <c r="E5" s="133">
        <v>0.04</v>
      </c>
      <c r="F5" s="132">
        <v>0</v>
      </c>
      <c r="G5" s="133">
        <f>+F5</f>
        <v>0</v>
      </c>
      <c r="H5" s="133">
        <f>+E5+G5</f>
        <v>0.04</v>
      </c>
      <c r="J5" s="153"/>
      <c r="K5" s="153"/>
      <c r="L5" s="153"/>
      <c r="M5" s="151">
        <f>IF($L$4&gt;=C5,$L$4,0)</f>
        <v>0</v>
      </c>
      <c r="N5" s="151">
        <f>IF($L$4&lt;=D5,$L$4,0)</f>
        <v>0</v>
      </c>
    </row>
    <row r="6" spans="1:14" hidden="1" x14ac:dyDescent="0.25">
      <c r="A6" s="131" t="s">
        <v>55</v>
      </c>
      <c r="B6" s="157">
        <f t="shared" ref="B6:B11" si="0">+M6-N6</f>
        <v>0</v>
      </c>
      <c r="C6" s="134">
        <f>+$D$2*4</f>
        <v>2950868</v>
      </c>
      <c r="D6" s="134">
        <f>+$D$2*16-1</f>
        <v>11803471</v>
      </c>
      <c r="E6" s="133">
        <v>0.04</v>
      </c>
      <c r="F6" s="132">
        <v>0.01</v>
      </c>
      <c r="G6" s="133">
        <f>+F6</f>
        <v>0.01</v>
      </c>
      <c r="H6" s="133">
        <f>+E6+G6</f>
        <v>0.05</v>
      </c>
      <c r="J6" s="154"/>
      <c r="K6" s="154"/>
      <c r="L6" s="154"/>
      <c r="M6" s="151">
        <f t="shared" ref="M6:M11" si="1">IF($L$4&gt;=C6,$L$4,0)</f>
        <v>0</v>
      </c>
      <c r="N6" s="151">
        <f t="shared" ref="N6:N11" si="2">IF($L$4&lt;=D6,$L$4,0)</f>
        <v>0</v>
      </c>
    </row>
    <row r="7" spans="1:14" hidden="1" x14ac:dyDescent="0.25">
      <c r="A7" s="131" t="s">
        <v>56</v>
      </c>
      <c r="B7" s="157">
        <f t="shared" si="0"/>
        <v>0</v>
      </c>
      <c r="C7" s="134">
        <f>+$D$2*16</f>
        <v>11803472</v>
      </c>
      <c r="D7" s="134">
        <f>+$D$2*17-1</f>
        <v>12541188</v>
      </c>
      <c r="E7" s="133">
        <v>0.04</v>
      </c>
      <c r="F7" s="132">
        <f>+G7-G6</f>
        <v>2E-3</v>
      </c>
      <c r="G7" s="133">
        <f>+G6+0.002</f>
        <v>1.2E-2</v>
      </c>
      <c r="H7" s="133">
        <f>+H6+0.002</f>
        <v>5.2000000000000005E-2</v>
      </c>
      <c r="J7" s="154"/>
      <c r="K7" s="154"/>
      <c r="L7" s="154"/>
      <c r="M7" s="151">
        <f t="shared" si="1"/>
        <v>0</v>
      </c>
      <c r="N7" s="151">
        <f t="shared" si="2"/>
        <v>0</v>
      </c>
    </row>
    <row r="8" spans="1:14" hidden="1" x14ac:dyDescent="0.25">
      <c r="A8" s="131" t="s">
        <v>57</v>
      </c>
      <c r="B8" s="157">
        <f t="shared" si="0"/>
        <v>0</v>
      </c>
      <c r="C8" s="134">
        <f>+$D$2*17</f>
        <v>12541189</v>
      </c>
      <c r="D8" s="134">
        <f>+$D$2*18-1</f>
        <v>13278905</v>
      </c>
      <c r="E8" s="133">
        <v>0.04</v>
      </c>
      <c r="F8" s="132">
        <f>+G8-G7</f>
        <v>2E-3</v>
      </c>
      <c r="G8" s="133">
        <f t="shared" ref="G8:H11" si="3">+G7+0.002</f>
        <v>1.4E-2</v>
      </c>
      <c r="H8" s="133">
        <f t="shared" si="3"/>
        <v>5.4000000000000006E-2</v>
      </c>
      <c r="J8" s="154"/>
      <c r="K8" s="154"/>
      <c r="L8" s="154"/>
      <c r="M8" s="151">
        <f t="shared" si="1"/>
        <v>0</v>
      </c>
      <c r="N8" s="151">
        <f t="shared" si="2"/>
        <v>0</v>
      </c>
    </row>
    <row r="9" spans="1:14" hidden="1" x14ac:dyDescent="0.25">
      <c r="A9" s="131" t="s">
        <v>58</v>
      </c>
      <c r="B9" s="157">
        <f t="shared" si="0"/>
        <v>0</v>
      </c>
      <c r="C9" s="134">
        <f>+$D$2*18</f>
        <v>13278906</v>
      </c>
      <c r="D9" s="134">
        <f>+$D$2*19-1</f>
        <v>14016622</v>
      </c>
      <c r="E9" s="133">
        <v>0.04</v>
      </c>
      <c r="F9" s="132">
        <f>+G9-G8</f>
        <v>2E-3</v>
      </c>
      <c r="G9" s="133">
        <f t="shared" si="3"/>
        <v>1.6E-2</v>
      </c>
      <c r="H9" s="133">
        <f t="shared" si="3"/>
        <v>5.6000000000000008E-2</v>
      </c>
      <c r="J9" s="154"/>
      <c r="K9" s="154"/>
      <c r="L9" s="154"/>
      <c r="M9" s="151">
        <f t="shared" si="1"/>
        <v>0</v>
      </c>
      <c r="N9" s="151">
        <f t="shared" si="2"/>
        <v>0</v>
      </c>
    </row>
    <row r="10" spans="1:14" hidden="1" x14ac:dyDescent="0.25">
      <c r="A10" s="131" t="s">
        <v>59</v>
      </c>
      <c r="B10" s="157">
        <f t="shared" si="0"/>
        <v>0</v>
      </c>
      <c r="C10" s="134">
        <f>+$D$2*19</f>
        <v>14016623</v>
      </c>
      <c r="D10" s="134">
        <f>+$D$2*20-1</f>
        <v>14754339</v>
      </c>
      <c r="E10" s="133">
        <v>0.04</v>
      </c>
      <c r="F10" s="132">
        <f>+G10-G9</f>
        <v>2.0000000000000018E-3</v>
      </c>
      <c r="G10" s="133">
        <f t="shared" si="3"/>
        <v>1.8000000000000002E-2</v>
      </c>
      <c r="H10" s="133">
        <f t="shared" si="3"/>
        <v>5.800000000000001E-2</v>
      </c>
      <c r="M10" s="151">
        <f t="shared" si="1"/>
        <v>0</v>
      </c>
      <c r="N10" s="151">
        <f t="shared" si="2"/>
        <v>0</v>
      </c>
    </row>
    <row r="11" spans="1:14" hidden="1" x14ac:dyDescent="0.25">
      <c r="A11" s="131" t="s">
        <v>60</v>
      </c>
      <c r="B11" s="157">
        <f t="shared" si="0"/>
        <v>0</v>
      </c>
      <c r="C11" s="134">
        <f>+$D$2*20</f>
        <v>14754340</v>
      </c>
      <c r="D11" s="134" t="s">
        <v>68</v>
      </c>
      <c r="E11" s="133">
        <v>0.04</v>
      </c>
      <c r="F11" s="132">
        <f>+G11-G10</f>
        <v>2.0000000000000018E-3</v>
      </c>
      <c r="G11" s="133">
        <f t="shared" si="3"/>
        <v>2.0000000000000004E-2</v>
      </c>
      <c r="H11" s="133">
        <f t="shared" si="3"/>
        <v>6.0000000000000012E-2</v>
      </c>
      <c r="M11" s="151">
        <f t="shared" si="1"/>
        <v>0</v>
      </c>
      <c r="N11" s="151">
        <f t="shared" si="2"/>
        <v>0</v>
      </c>
    </row>
    <row r="12" spans="1:14" hidden="1" x14ac:dyDescent="0.25">
      <c r="M12" s="151"/>
      <c r="N12" s="151"/>
    </row>
    <row r="13" spans="1:14" hidden="1" x14ac:dyDescent="0.25">
      <c r="M13" s="151"/>
      <c r="N13" s="151"/>
    </row>
    <row r="14" spans="1:14" hidden="1" x14ac:dyDescent="0.25">
      <c r="M14" s="151"/>
      <c r="N14" s="151"/>
    </row>
    <row r="15" spans="1:14" hidden="1" x14ac:dyDescent="0.25">
      <c r="M15" s="151"/>
      <c r="N15" s="151"/>
    </row>
    <row r="16" spans="1:14" ht="27" hidden="1" thickBot="1" x14ac:dyDescent="0.45">
      <c r="B16" s="1011" t="s">
        <v>409</v>
      </c>
    </row>
    <row r="17" spans="1:14" ht="26.25" hidden="1" thickBot="1" x14ac:dyDescent="0.3">
      <c r="C17" s="136" t="s">
        <v>69</v>
      </c>
      <c r="D17" s="137">
        <f>+'Ret.Fte.Mes (Procedimiento 2)'!G17</f>
        <v>737717</v>
      </c>
      <c r="J17" s="143" t="s">
        <v>81</v>
      </c>
      <c r="K17" s="143" t="s">
        <v>72</v>
      </c>
      <c r="L17" s="143" t="s">
        <v>80</v>
      </c>
      <c r="M17" s="143" t="s">
        <v>74</v>
      </c>
      <c r="N17" s="143" t="s">
        <v>75</v>
      </c>
    </row>
    <row r="18" spans="1:14" ht="15.75" hidden="1" thickBot="1" x14ac:dyDescent="0.3">
      <c r="A18" s="128" t="s">
        <v>54</v>
      </c>
      <c r="B18" s="156"/>
      <c r="C18" s="129"/>
      <c r="D18" s="129"/>
      <c r="E18" s="129"/>
      <c r="F18" s="129"/>
      <c r="G18" s="130"/>
      <c r="J18" s="159">
        <f>IF(L19&gt;C26,0,VLOOKUP(K18,B19:H26,7,FALSE))</f>
        <v>0.04</v>
      </c>
      <c r="K18" s="146">
        <v>0</v>
      </c>
      <c r="L18" s="147">
        <f>SUM('Ret.Fte.Mes (Procedimiento 2)'!F31:F37)</f>
        <v>0</v>
      </c>
    </row>
    <row r="19" spans="1:14" ht="75.75" hidden="1" thickBot="1" x14ac:dyDescent="0.3">
      <c r="A19" s="135"/>
      <c r="B19" s="158" t="s">
        <v>82</v>
      </c>
      <c r="C19" s="135" t="s">
        <v>61</v>
      </c>
      <c r="D19" s="135" t="s">
        <v>62</v>
      </c>
      <c r="E19" s="135" t="s">
        <v>64</v>
      </c>
      <c r="F19" s="135" t="s">
        <v>63</v>
      </c>
      <c r="G19" s="135" t="s">
        <v>65</v>
      </c>
      <c r="H19" s="135" t="s">
        <v>66</v>
      </c>
      <c r="J19" s="159">
        <f>IF(L19&gt;C26,H26,0)</f>
        <v>0</v>
      </c>
      <c r="K19" s="150"/>
      <c r="L19" s="147">
        <f>+L18</f>
        <v>0</v>
      </c>
    </row>
    <row r="20" spans="1:14" hidden="1" x14ac:dyDescent="0.25">
      <c r="A20" s="131" t="s">
        <v>67</v>
      </c>
      <c r="B20" s="157">
        <f>+M20-N20</f>
        <v>0</v>
      </c>
      <c r="C20" s="134">
        <v>0</v>
      </c>
      <c r="D20" s="134">
        <f>D17*4-1</f>
        <v>2950867</v>
      </c>
      <c r="E20" s="133">
        <v>0.04</v>
      </c>
      <c r="F20" s="132">
        <v>0</v>
      </c>
      <c r="G20" s="133">
        <f>+F20</f>
        <v>0</v>
      </c>
      <c r="H20" s="133">
        <f>+E20+G20</f>
        <v>0.04</v>
      </c>
      <c r="J20" s="153"/>
      <c r="K20" s="153"/>
      <c r="L20" s="153"/>
      <c r="M20" s="151">
        <f>IF(L19&gt;=C20,L19,0)</f>
        <v>0</v>
      </c>
      <c r="N20" s="151">
        <f>IF(L19&lt;=D20,L19,0)</f>
        <v>0</v>
      </c>
    </row>
    <row r="21" spans="1:14" hidden="1" x14ac:dyDescent="0.25">
      <c r="A21" s="131" t="s">
        <v>55</v>
      </c>
      <c r="B21" s="157">
        <f>+M21-N21</f>
        <v>0</v>
      </c>
      <c r="C21" s="134">
        <f>D17*4</f>
        <v>2950868</v>
      </c>
      <c r="D21" s="134">
        <f>D17*16-1</f>
        <v>11803471</v>
      </c>
      <c r="E21" s="133">
        <v>0.04</v>
      </c>
      <c r="F21" s="132">
        <v>0.01</v>
      </c>
      <c r="G21" s="133">
        <f>+F21</f>
        <v>0.01</v>
      </c>
      <c r="H21" s="133">
        <f>+E21+G21</f>
        <v>0.05</v>
      </c>
      <c r="J21" s="154"/>
      <c r="K21" s="154"/>
      <c r="L21" s="154"/>
      <c r="M21" s="151">
        <f>IF(L19&gt;=C21,L19,0)</f>
        <v>0</v>
      </c>
      <c r="N21" s="151">
        <f>IF(L19&lt;=D21,L19,0)</f>
        <v>0</v>
      </c>
    </row>
    <row r="22" spans="1:14" hidden="1" x14ac:dyDescent="0.25">
      <c r="A22" s="131" t="s">
        <v>56</v>
      </c>
      <c r="B22" s="157">
        <f t="shared" ref="B22:B25" si="4">+M22-N22</f>
        <v>0</v>
      </c>
      <c r="C22" s="134">
        <f>D17*16</f>
        <v>11803472</v>
      </c>
      <c r="D22" s="134">
        <f>D17*17-1</f>
        <v>12541188</v>
      </c>
      <c r="E22" s="133">
        <v>0.04</v>
      </c>
      <c r="F22" s="132">
        <f>+G22-G21</f>
        <v>2E-3</v>
      </c>
      <c r="G22" s="133">
        <f>+G21+0.002</f>
        <v>1.2E-2</v>
      </c>
      <c r="H22" s="133">
        <f>+H21+0.002</f>
        <v>5.2000000000000005E-2</v>
      </c>
      <c r="J22" s="154"/>
      <c r="K22" s="154"/>
      <c r="L22" s="154"/>
      <c r="M22" s="151">
        <f>IF(L19&gt;=C22,L19,0)</f>
        <v>0</v>
      </c>
      <c r="N22" s="151">
        <f>IF(L19&lt;=D22,L19,0)</f>
        <v>0</v>
      </c>
    </row>
    <row r="23" spans="1:14" hidden="1" x14ac:dyDescent="0.25">
      <c r="A23" s="131" t="s">
        <v>57</v>
      </c>
      <c r="B23" s="157">
        <f t="shared" si="4"/>
        <v>0</v>
      </c>
      <c r="C23" s="134">
        <f>D17*17</f>
        <v>12541189</v>
      </c>
      <c r="D23" s="134">
        <f>D17*18-1</f>
        <v>13278905</v>
      </c>
      <c r="E23" s="133">
        <v>0.04</v>
      </c>
      <c r="F23" s="132">
        <f>+G23-G22</f>
        <v>2E-3</v>
      </c>
      <c r="G23" s="133">
        <f t="shared" ref="G23:H23" si="5">+G22+0.002</f>
        <v>1.4E-2</v>
      </c>
      <c r="H23" s="133">
        <f t="shared" si="5"/>
        <v>5.4000000000000006E-2</v>
      </c>
      <c r="J23" s="154"/>
      <c r="K23" s="154"/>
      <c r="L23" s="154"/>
      <c r="M23" s="151">
        <f>IF(L19&gt;=C23,L19,0)</f>
        <v>0</v>
      </c>
      <c r="N23" s="151">
        <f>IF(L19&lt;=D23,L19,0)</f>
        <v>0</v>
      </c>
    </row>
    <row r="24" spans="1:14" hidden="1" x14ac:dyDescent="0.25">
      <c r="A24" s="131" t="s">
        <v>58</v>
      </c>
      <c r="B24" s="157">
        <f t="shared" si="4"/>
        <v>0</v>
      </c>
      <c r="C24" s="134">
        <f>D17*18</f>
        <v>13278906</v>
      </c>
      <c r="D24" s="134">
        <f>D17*19-1</f>
        <v>14016622</v>
      </c>
      <c r="E24" s="133">
        <v>0.04</v>
      </c>
      <c r="F24" s="132">
        <f>+G24-G23</f>
        <v>2E-3</v>
      </c>
      <c r="G24" s="133">
        <f t="shared" ref="G24:H24" si="6">+G23+0.002</f>
        <v>1.6E-2</v>
      </c>
      <c r="H24" s="133">
        <f t="shared" si="6"/>
        <v>5.6000000000000008E-2</v>
      </c>
      <c r="J24" s="154"/>
      <c r="K24" s="154"/>
      <c r="L24" s="154"/>
      <c r="M24" s="151">
        <f>IF(L19&gt;=C24,L19,0)</f>
        <v>0</v>
      </c>
      <c r="N24" s="151">
        <f>IF(L19&lt;=D24,L19,0)</f>
        <v>0</v>
      </c>
    </row>
    <row r="25" spans="1:14" hidden="1" x14ac:dyDescent="0.25">
      <c r="A25" s="131" t="s">
        <v>59</v>
      </c>
      <c r="B25" s="157">
        <f t="shared" si="4"/>
        <v>0</v>
      </c>
      <c r="C25" s="134">
        <f>D17*19</f>
        <v>14016623</v>
      </c>
      <c r="D25" s="134">
        <f>D17*20-1</f>
        <v>14754339</v>
      </c>
      <c r="E25" s="133">
        <v>0.04</v>
      </c>
      <c r="F25" s="132">
        <f>+G25-G24</f>
        <v>2.0000000000000018E-3</v>
      </c>
      <c r="G25" s="133">
        <f t="shared" ref="G25:H25" si="7">+G24+0.002</f>
        <v>1.8000000000000002E-2</v>
      </c>
      <c r="H25" s="133">
        <f t="shared" si="7"/>
        <v>5.800000000000001E-2</v>
      </c>
      <c r="M25" s="151">
        <f>IF(L19&gt;=C25,L19,0)</f>
        <v>0</v>
      </c>
      <c r="N25" s="151">
        <f>IF(L19&lt;=D25,L19,0)</f>
        <v>0</v>
      </c>
    </row>
    <row r="26" spans="1:14" hidden="1" x14ac:dyDescent="0.25">
      <c r="A26" s="131" t="s">
        <v>60</v>
      </c>
      <c r="B26" s="157">
        <f>+M26-N26</f>
        <v>0</v>
      </c>
      <c r="C26" s="134">
        <f>D17*20</f>
        <v>14754340</v>
      </c>
      <c r="D26" s="134" t="s">
        <v>68</v>
      </c>
      <c r="E26" s="133">
        <v>0.04</v>
      </c>
      <c r="F26" s="132">
        <f>+G26-G25</f>
        <v>2.0000000000000018E-3</v>
      </c>
      <c r="G26" s="133">
        <f t="shared" ref="G26:H26" si="8">+G25+0.002</f>
        <v>2.0000000000000004E-2</v>
      </c>
      <c r="H26" s="133">
        <f t="shared" si="8"/>
        <v>6.0000000000000012E-2</v>
      </c>
      <c r="M26" s="151">
        <f>IF(L19&gt;=C26,L19,0)</f>
        <v>0</v>
      </c>
      <c r="N26" s="151">
        <f>IF(L19&lt;=D26,L19,0)</f>
        <v>0</v>
      </c>
    </row>
    <row r="27" spans="1:14" s="1017" customFormat="1" hidden="1" x14ac:dyDescent="0.25">
      <c r="A27" s="1012"/>
      <c r="B27" s="1013"/>
      <c r="C27" s="1014"/>
      <c r="D27" s="1014"/>
      <c r="E27" s="1015"/>
      <c r="F27" s="1016"/>
      <c r="G27" s="1015"/>
      <c r="H27" s="1015"/>
      <c r="J27" s="378"/>
      <c r="K27" s="378"/>
      <c r="L27" s="378"/>
      <c r="M27" s="1018"/>
      <c r="N27" s="1018"/>
    </row>
    <row r="28" spans="1:14" s="1017" customFormat="1" hidden="1" x14ac:dyDescent="0.25">
      <c r="A28" s="1012"/>
      <c r="B28" s="1013"/>
      <c r="C28" s="1014"/>
      <c r="D28" s="1014"/>
      <c r="E28" s="1015"/>
      <c r="F28" s="1016"/>
      <c r="G28" s="1015"/>
      <c r="H28" s="1015"/>
      <c r="J28" s="378"/>
      <c r="K28" s="378"/>
      <c r="L28" s="378"/>
      <c r="M28" s="1018"/>
      <c r="N28" s="1018"/>
    </row>
    <row r="29" spans="1:14" s="1017" customFormat="1" hidden="1" x14ac:dyDescent="0.25">
      <c r="A29" s="1012"/>
      <c r="B29" s="1013"/>
      <c r="C29" s="1014"/>
      <c r="D29" s="1014"/>
      <c r="E29" s="1015"/>
      <c r="F29" s="1016"/>
      <c r="G29" s="1015"/>
      <c r="H29" s="1015"/>
      <c r="J29" s="378"/>
      <c r="K29" s="378"/>
      <c r="L29" s="378"/>
      <c r="M29" s="1018"/>
      <c r="N29" s="1018"/>
    </row>
    <row r="30" spans="1:14" s="1017" customFormat="1" hidden="1" x14ac:dyDescent="0.25">
      <c r="A30" s="1012"/>
      <c r="B30" s="1013"/>
      <c r="C30" s="1014"/>
      <c r="D30" s="1014"/>
      <c r="E30" s="1015"/>
      <c r="F30" s="1016"/>
      <c r="G30" s="1015"/>
      <c r="H30" s="1015"/>
      <c r="J30" s="378"/>
      <c r="K30" s="378"/>
      <c r="L30" s="378"/>
      <c r="M30" s="1018"/>
      <c r="N30" s="1018"/>
    </row>
    <row r="31" spans="1:14" ht="27" hidden="1" thickBot="1" x14ac:dyDescent="0.45">
      <c r="B31" s="1011" t="s">
        <v>410</v>
      </c>
    </row>
    <row r="32" spans="1:14" ht="26.25" hidden="1" thickBot="1" x14ac:dyDescent="0.3">
      <c r="C32" s="136" t="s">
        <v>69</v>
      </c>
      <c r="D32" s="137">
        <f>+'Ret.Fte.Mes (Procedimiento 1)'!G17</f>
        <v>737717</v>
      </c>
      <c r="J32" s="143" t="s">
        <v>81</v>
      </c>
      <c r="K32" s="143" t="s">
        <v>72</v>
      </c>
      <c r="L32" s="143" t="s">
        <v>80</v>
      </c>
      <c r="M32" s="143" t="s">
        <v>74</v>
      </c>
      <c r="N32" s="143" t="s">
        <v>75</v>
      </c>
    </row>
    <row r="33" spans="1:14" ht="15.75" hidden="1" thickBot="1" x14ac:dyDescent="0.3">
      <c r="A33" s="128" t="s">
        <v>54</v>
      </c>
      <c r="B33" s="156"/>
      <c r="C33" s="129"/>
      <c r="D33" s="129"/>
      <c r="E33" s="129"/>
      <c r="F33" s="129"/>
      <c r="G33" s="130"/>
      <c r="J33" s="159">
        <f>IF(L34&gt;C41,0,VLOOKUP(K33,B34:H41,7,FALSE))</f>
        <v>0.04</v>
      </c>
      <c r="K33" s="146">
        <v>0</v>
      </c>
      <c r="L33" s="147">
        <f>SUM('Ret.Fte.Mes (Procedimiento 1)'!F31:F37)</f>
        <v>0</v>
      </c>
    </row>
    <row r="34" spans="1:14" ht="75.75" hidden="1" thickBot="1" x14ac:dyDescent="0.3">
      <c r="A34" s="135"/>
      <c r="B34" s="158" t="s">
        <v>82</v>
      </c>
      <c r="C34" s="135" t="s">
        <v>61</v>
      </c>
      <c r="D34" s="135" t="s">
        <v>62</v>
      </c>
      <c r="E34" s="135" t="s">
        <v>64</v>
      </c>
      <c r="F34" s="135" t="s">
        <v>63</v>
      </c>
      <c r="G34" s="135" t="s">
        <v>65</v>
      </c>
      <c r="H34" s="135" t="s">
        <v>66</v>
      </c>
      <c r="J34" s="159">
        <f>IF(L34&gt;C41,H41,0)</f>
        <v>0</v>
      </c>
      <c r="K34" s="150"/>
      <c r="L34" s="147">
        <f>+L33</f>
        <v>0</v>
      </c>
    </row>
    <row r="35" spans="1:14" hidden="1" x14ac:dyDescent="0.25">
      <c r="A35" s="131" t="s">
        <v>67</v>
      </c>
      <c r="B35" s="157">
        <f>+M35-N35</f>
        <v>0</v>
      </c>
      <c r="C35" s="134">
        <v>0</v>
      </c>
      <c r="D35" s="134">
        <f>D32*4-1</f>
        <v>2950867</v>
      </c>
      <c r="E35" s="133">
        <v>0.04</v>
      </c>
      <c r="F35" s="132">
        <v>0</v>
      </c>
      <c r="G35" s="133">
        <f>+F35</f>
        <v>0</v>
      </c>
      <c r="H35" s="133">
        <f>+E35+G35</f>
        <v>0.04</v>
      </c>
      <c r="J35" s="153"/>
      <c r="K35" s="153"/>
      <c r="L35" s="153"/>
      <c r="M35" s="151">
        <f>IF(L34&gt;=C35,L34,0)</f>
        <v>0</v>
      </c>
      <c r="N35" s="151">
        <f>IF(L34&lt;=D35,L34,0)</f>
        <v>0</v>
      </c>
    </row>
    <row r="36" spans="1:14" hidden="1" x14ac:dyDescent="0.25">
      <c r="A36" s="131" t="s">
        <v>55</v>
      </c>
      <c r="B36" s="157">
        <f>+M36-N36</f>
        <v>0</v>
      </c>
      <c r="C36" s="134">
        <f>D32*4</f>
        <v>2950868</v>
      </c>
      <c r="D36" s="134">
        <f>D32*16-1</f>
        <v>11803471</v>
      </c>
      <c r="E36" s="133">
        <v>0.04</v>
      </c>
      <c r="F36" s="132">
        <v>0.01</v>
      </c>
      <c r="G36" s="133">
        <f>+F36</f>
        <v>0.01</v>
      </c>
      <c r="H36" s="133">
        <f>+E36+G36</f>
        <v>0.05</v>
      </c>
      <c r="J36" s="154"/>
      <c r="K36" s="154"/>
      <c r="L36" s="154"/>
      <c r="M36" s="151">
        <f>IF(L34&gt;=C36,L34,0)</f>
        <v>0</v>
      </c>
      <c r="N36" s="151">
        <f>IF(L34&lt;=D36,L34,0)</f>
        <v>0</v>
      </c>
    </row>
    <row r="37" spans="1:14" hidden="1" x14ac:dyDescent="0.25">
      <c r="A37" s="131" t="s">
        <v>56</v>
      </c>
      <c r="B37" s="157">
        <f t="shared" ref="B37:B40" si="9">+M37-N37</f>
        <v>0</v>
      </c>
      <c r="C37" s="134">
        <f>D32*16</f>
        <v>11803472</v>
      </c>
      <c r="D37" s="134">
        <f>D32*17-1</f>
        <v>12541188</v>
      </c>
      <c r="E37" s="133">
        <v>0.04</v>
      </c>
      <c r="F37" s="132">
        <f>+G37-G36</f>
        <v>2E-3</v>
      </c>
      <c r="G37" s="133">
        <f>+G36+0.002</f>
        <v>1.2E-2</v>
      </c>
      <c r="H37" s="133">
        <f>+H36+0.002</f>
        <v>5.2000000000000005E-2</v>
      </c>
      <c r="J37" s="154"/>
      <c r="K37" s="154"/>
      <c r="L37" s="154"/>
      <c r="M37" s="151">
        <f>IF(L34&gt;=C37,L34,0)</f>
        <v>0</v>
      </c>
      <c r="N37" s="151">
        <f>IF(L34&lt;=D37,L34,0)</f>
        <v>0</v>
      </c>
    </row>
    <row r="38" spans="1:14" hidden="1" x14ac:dyDescent="0.25">
      <c r="A38" s="131" t="s">
        <v>57</v>
      </c>
      <c r="B38" s="157">
        <f t="shared" si="9"/>
        <v>0</v>
      </c>
      <c r="C38" s="134">
        <f>D32*17</f>
        <v>12541189</v>
      </c>
      <c r="D38" s="134">
        <f>D32*18-1</f>
        <v>13278905</v>
      </c>
      <c r="E38" s="133">
        <v>0.04</v>
      </c>
      <c r="F38" s="132">
        <f>+G38-G37</f>
        <v>2E-3</v>
      </c>
      <c r="G38" s="133">
        <f t="shared" ref="G38:H38" si="10">+G37+0.002</f>
        <v>1.4E-2</v>
      </c>
      <c r="H38" s="133">
        <f t="shared" si="10"/>
        <v>5.4000000000000006E-2</v>
      </c>
      <c r="J38" s="154"/>
      <c r="K38" s="154"/>
      <c r="L38" s="154"/>
      <c r="M38" s="151">
        <f>IF(L34&gt;=C38,L34,0)</f>
        <v>0</v>
      </c>
      <c r="N38" s="151">
        <f>IF(L34&lt;=D38,L34,0)</f>
        <v>0</v>
      </c>
    </row>
    <row r="39" spans="1:14" hidden="1" x14ac:dyDescent="0.25">
      <c r="A39" s="131" t="s">
        <v>58</v>
      </c>
      <c r="B39" s="157">
        <f t="shared" si="9"/>
        <v>0</v>
      </c>
      <c r="C39" s="134">
        <f>D32*18</f>
        <v>13278906</v>
      </c>
      <c r="D39" s="134">
        <f>D32*19-1</f>
        <v>14016622</v>
      </c>
      <c r="E39" s="133">
        <v>0.04</v>
      </c>
      <c r="F39" s="132">
        <f>+G39-G38</f>
        <v>2E-3</v>
      </c>
      <c r="G39" s="133">
        <f t="shared" ref="G39:H39" si="11">+G38+0.002</f>
        <v>1.6E-2</v>
      </c>
      <c r="H39" s="133">
        <f t="shared" si="11"/>
        <v>5.6000000000000008E-2</v>
      </c>
      <c r="J39" s="154"/>
      <c r="K39" s="154"/>
      <c r="L39" s="154"/>
      <c r="M39" s="151">
        <f>IF(L34&gt;=C39,L34,0)</f>
        <v>0</v>
      </c>
      <c r="N39" s="151">
        <f>IF(L34&lt;=D39,L34,0)</f>
        <v>0</v>
      </c>
    </row>
    <row r="40" spans="1:14" hidden="1" x14ac:dyDescent="0.25">
      <c r="A40" s="131" t="s">
        <v>59</v>
      </c>
      <c r="B40" s="157">
        <f t="shared" si="9"/>
        <v>0</v>
      </c>
      <c r="C40" s="134">
        <f>D32*19</f>
        <v>14016623</v>
      </c>
      <c r="D40" s="134">
        <f>D32*20-1</f>
        <v>14754339</v>
      </c>
      <c r="E40" s="133">
        <v>0.04</v>
      </c>
      <c r="F40" s="132">
        <f>+G40-G39</f>
        <v>2.0000000000000018E-3</v>
      </c>
      <c r="G40" s="133">
        <f t="shared" ref="G40:H40" si="12">+G39+0.002</f>
        <v>1.8000000000000002E-2</v>
      </c>
      <c r="H40" s="133">
        <f t="shared" si="12"/>
        <v>5.800000000000001E-2</v>
      </c>
      <c r="M40" s="151">
        <f>IF(L34&gt;=C40,L34,0)</f>
        <v>0</v>
      </c>
      <c r="N40" s="151">
        <f>IF(L34&lt;=D40,L34,0)</f>
        <v>0</v>
      </c>
    </row>
    <row r="41" spans="1:14" hidden="1" x14ac:dyDescent="0.25">
      <c r="A41" s="131" t="s">
        <v>60</v>
      </c>
      <c r="B41" s="157">
        <f>+M41-N41</f>
        <v>0</v>
      </c>
      <c r="C41" s="134">
        <f>D32*20</f>
        <v>14754340</v>
      </c>
      <c r="D41" s="134" t="s">
        <v>68</v>
      </c>
      <c r="E41" s="133">
        <v>0.04</v>
      </c>
      <c r="F41" s="132">
        <f>+G41-G40</f>
        <v>2.0000000000000018E-3</v>
      </c>
      <c r="G41" s="133">
        <f t="shared" ref="G41:H41" si="13">+G40+0.002</f>
        <v>2.0000000000000004E-2</v>
      </c>
      <c r="H41" s="133">
        <f t="shared" si="13"/>
        <v>6.0000000000000012E-2</v>
      </c>
      <c r="M41" s="151">
        <f>IF(L34&gt;=C41,L34,0)</f>
        <v>0</v>
      </c>
      <c r="N41" s="151">
        <f>IF(L34&lt;=D41,L34,0)</f>
        <v>0</v>
      </c>
    </row>
    <row r="42" spans="1:14" s="1017" customFormat="1" hidden="1" x14ac:dyDescent="0.25">
      <c r="A42" s="1012"/>
      <c r="B42" s="1013"/>
      <c r="C42" s="1014"/>
      <c r="D42" s="1014"/>
      <c r="E42" s="1015"/>
      <c r="F42" s="1016"/>
      <c r="G42" s="1015"/>
      <c r="H42" s="1015"/>
      <c r="J42" s="378"/>
      <c r="K42" s="378"/>
      <c r="L42" s="378"/>
      <c r="M42" s="1018"/>
      <c r="N42" s="1018"/>
    </row>
    <row r="43" spans="1:14" s="1017" customFormat="1" hidden="1" x14ac:dyDescent="0.25">
      <c r="A43" s="1012"/>
      <c r="B43" s="1013"/>
      <c r="C43" s="1014"/>
      <c r="D43" s="1014"/>
      <c r="E43" s="1015"/>
      <c r="F43" s="1016"/>
      <c r="G43" s="1015"/>
      <c r="H43" s="1015"/>
      <c r="J43" s="378"/>
      <c r="K43" s="378"/>
      <c r="L43" s="378"/>
      <c r="M43" s="1018"/>
      <c r="N43" s="1018"/>
    </row>
    <row r="44" spans="1:14" s="1017" customFormat="1" hidden="1" x14ac:dyDescent="0.25">
      <c r="A44" s="1012"/>
      <c r="B44" s="1013"/>
      <c r="C44" s="1014"/>
      <c r="D44" s="1014"/>
      <c r="E44" s="1015"/>
      <c r="F44" s="1016"/>
      <c r="G44" s="1015"/>
      <c r="H44" s="1015"/>
      <c r="J44" s="378"/>
      <c r="K44" s="378"/>
      <c r="L44" s="378"/>
      <c r="M44" s="1018"/>
      <c r="N44" s="1018"/>
    </row>
    <row r="45" spans="1:14" s="1017" customFormat="1" hidden="1" x14ac:dyDescent="0.25">
      <c r="A45" s="1012"/>
      <c r="B45" s="1013"/>
      <c r="C45" s="1014"/>
      <c r="D45" s="1014"/>
      <c r="E45" s="1015"/>
      <c r="F45" s="1016"/>
      <c r="G45" s="1015"/>
      <c r="H45" s="1015"/>
      <c r="J45" s="378"/>
      <c r="K45" s="378"/>
      <c r="L45" s="378"/>
      <c r="M45" s="1018"/>
      <c r="N45" s="1018"/>
    </row>
    <row r="46" spans="1:14" ht="27" hidden="1" thickBot="1" x14ac:dyDescent="0.45">
      <c r="B46" s="1011" t="s">
        <v>162</v>
      </c>
      <c r="L46" s="142">
        <f>+'Cálculo % Fijo de Ret.Fte.'!F45</f>
        <v>0</v>
      </c>
    </row>
    <row r="47" spans="1:14" ht="26.25" hidden="1" thickBot="1" x14ac:dyDescent="0.3">
      <c r="C47" s="136" t="s">
        <v>69</v>
      </c>
      <c r="D47" s="137">
        <f>+D2</f>
        <v>737717</v>
      </c>
      <c r="J47" s="143" t="s">
        <v>81</v>
      </c>
      <c r="K47" s="143" t="s">
        <v>72</v>
      </c>
      <c r="L47" s="143" t="s">
        <v>80</v>
      </c>
      <c r="M47" s="143" t="s">
        <v>74</v>
      </c>
      <c r="N47" s="143" t="s">
        <v>75</v>
      </c>
    </row>
    <row r="48" spans="1:14" ht="15.75" hidden="1" thickBot="1" x14ac:dyDescent="0.3">
      <c r="A48" s="128" t="s">
        <v>54</v>
      </c>
      <c r="B48" s="156"/>
      <c r="C48" s="129"/>
      <c r="D48" s="129"/>
      <c r="E48" s="129"/>
      <c r="F48" s="129"/>
      <c r="G48" s="130"/>
      <c r="J48" s="159">
        <f>IF(L49&gt;C56,0,VLOOKUP(K48,B49:H56,7,FALSE))</f>
        <v>0.04</v>
      </c>
      <c r="K48" s="146">
        <v>0</v>
      </c>
      <c r="L48" s="147">
        <f>+L46*0.4</f>
        <v>0</v>
      </c>
    </row>
    <row r="49" spans="1:14" ht="75.75" hidden="1" thickBot="1" x14ac:dyDescent="0.3">
      <c r="A49" s="135"/>
      <c r="B49" s="158" t="s">
        <v>82</v>
      </c>
      <c r="C49" s="135" t="s">
        <v>61</v>
      </c>
      <c r="D49" s="135" t="s">
        <v>62</v>
      </c>
      <c r="E49" s="135" t="s">
        <v>64</v>
      </c>
      <c r="F49" s="135" t="s">
        <v>63</v>
      </c>
      <c r="G49" s="135" t="s">
        <v>65</v>
      </c>
      <c r="H49" s="135" t="s">
        <v>66</v>
      </c>
      <c r="J49" s="159">
        <f>IF(L49&gt;C56,H56,0)</f>
        <v>0</v>
      </c>
      <c r="K49" s="150"/>
      <c r="L49" s="147">
        <f>+L48</f>
        <v>0</v>
      </c>
    </row>
    <row r="50" spans="1:14" hidden="1" x14ac:dyDescent="0.25">
      <c r="A50" s="131" t="s">
        <v>67</v>
      </c>
      <c r="B50" s="157">
        <f>+M50-N50</f>
        <v>0</v>
      </c>
      <c r="C50" s="134">
        <v>0</v>
      </c>
      <c r="D50" s="134">
        <f>+$D$2*4-1</f>
        <v>2950867</v>
      </c>
      <c r="E50" s="133">
        <v>0.04</v>
      </c>
      <c r="F50" s="132">
        <v>0</v>
      </c>
      <c r="G50" s="133">
        <f>+F50</f>
        <v>0</v>
      </c>
      <c r="H50" s="133">
        <f>+E50+G50</f>
        <v>0.04</v>
      </c>
      <c r="J50" s="153"/>
      <c r="K50" s="153"/>
      <c r="L50" s="153"/>
      <c r="M50" s="151">
        <f>IF($L$49&gt;=C50,$L$49,0)</f>
        <v>0</v>
      </c>
      <c r="N50" s="151">
        <f>IF($L$49&lt;=D50,$L$49,0)</f>
        <v>0</v>
      </c>
    </row>
    <row r="51" spans="1:14" hidden="1" x14ac:dyDescent="0.25">
      <c r="A51" s="131" t="s">
        <v>55</v>
      </c>
      <c r="B51" s="157">
        <f t="shared" ref="B51:B56" si="14">+M51-N51</f>
        <v>0</v>
      </c>
      <c r="C51" s="134">
        <f>+$D$2*4</f>
        <v>2950868</v>
      </c>
      <c r="D51" s="134">
        <f>+$D$2*16-1</f>
        <v>11803471</v>
      </c>
      <c r="E51" s="133">
        <v>0.04</v>
      </c>
      <c r="F51" s="132">
        <v>0.01</v>
      </c>
      <c r="G51" s="133">
        <f>+F51</f>
        <v>0.01</v>
      </c>
      <c r="H51" s="133">
        <f>+E51+G51</f>
        <v>0.05</v>
      </c>
      <c r="J51" s="154"/>
      <c r="K51" s="154"/>
      <c r="L51" s="154"/>
      <c r="M51" s="151">
        <f t="shared" ref="M51:M56" si="15">IF($L$49&gt;=C51,$L$49,0)</f>
        <v>0</v>
      </c>
      <c r="N51" s="151">
        <f t="shared" ref="N51:N56" si="16">IF($L$49&lt;=D51,$L$49,0)</f>
        <v>0</v>
      </c>
    </row>
    <row r="52" spans="1:14" hidden="1" x14ac:dyDescent="0.25">
      <c r="A52" s="131" t="s">
        <v>56</v>
      </c>
      <c r="B52" s="157">
        <f t="shared" si="14"/>
        <v>0</v>
      </c>
      <c r="C52" s="134">
        <f>+$D$2*16</f>
        <v>11803472</v>
      </c>
      <c r="D52" s="134">
        <f>+$D$2*17-1</f>
        <v>12541188</v>
      </c>
      <c r="E52" s="133">
        <v>0.04</v>
      </c>
      <c r="F52" s="132">
        <f>+G52-G51</f>
        <v>2E-3</v>
      </c>
      <c r="G52" s="133">
        <f t="shared" ref="G52:H56" si="17">+G51+0.002</f>
        <v>1.2E-2</v>
      </c>
      <c r="H52" s="133">
        <f t="shared" si="17"/>
        <v>5.2000000000000005E-2</v>
      </c>
      <c r="J52" s="154"/>
      <c r="K52" s="154"/>
      <c r="L52" s="154"/>
      <c r="M52" s="151">
        <f t="shared" si="15"/>
        <v>0</v>
      </c>
      <c r="N52" s="151">
        <f t="shared" si="16"/>
        <v>0</v>
      </c>
    </row>
    <row r="53" spans="1:14" hidden="1" x14ac:dyDescent="0.25">
      <c r="A53" s="131" t="s">
        <v>57</v>
      </c>
      <c r="B53" s="157">
        <f t="shared" si="14"/>
        <v>0</v>
      </c>
      <c r="C53" s="134">
        <f>+$D$2*17</f>
        <v>12541189</v>
      </c>
      <c r="D53" s="134">
        <f>+$D$2*18-1</f>
        <v>13278905</v>
      </c>
      <c r="E53" s="133">
        <v>0.04</v>
      </c>
      <c r="F53" s="132">
        <f>+G53-G52</f>
        <v>2E-3</v>
      </c>
      <c r="G53" s="133">
        <f t="shared" si="17"/>
        <v>1.4E-2</v>
      </c>
      <c r="H53" s="133">
        <f t="shared" si="17"/>
        <v>5.4000000000000006E-2</v>
      </c>
      <c r="J53" s="154"/>
      <c r="K53" s="154"/>
      <c r="L53" s="154"/>
      <c r="M53" s="151">
        <f t="shared" si="15"/>
        <v>0</v>
      </c>
      <c r="N53" s="151">
        <f t="shared" si="16"/>
        <v>0</v>
      </c>
    </row>
    <row r="54" spans="1:14" hidden="1" x14ac:dyDescent="0.25">
      <c r="A54" s="131" t="s">
        <v>58</v>
      </c>
      <c r="B54" s="157">
        <f t="shared" si="14"/>
        <v>0</v>
      </c>
      <c r="C54" s="134">
        <f>+$D$2*18</f>
        <v>13278906</v>
      </c>
      <c r="D54" s="134">
        <f>+$D$2*19-1</f>
        <v>14016622</v>
      </c>
      <c r="E54" s="133">
        <v>0.04</v>
      </c>
      <c r="F54" s="132">
        <f>+G54-G53</f>
        <v>2E-3</v>
      </c>
      <c r="G54" s="133">
        <f t="shared" si="17"/>
        <v>1.6E-2</v>
      </c>
      <c r="H54" s="133">
        <f t="shared" si="17"/>
        <v>5.6000000000000008E-2</v>
      </c>
      <c r="J54" s="154"/>
      <c r="K54" s="154"/>
      <c r="L54" s="154"/>
      <c r="M54" s="151">
        <f t="shared" si="15"/>
        <v>0</v>
      </c>
      <c r="N54" s="151">
        <f t="shared" si="16"/>
        <v>0</v>
      </c>
    </row>
    <row r="55" spans="1:14" hidden="1" x14ac:dyDescent="0.25">
      <c r="A55" s="131" t="s">
        <v>59</v>
      </c>
      <c r="B55" s="157">
        <f t="shared" si="14"/>
        <v>0</v>
      </c>
      <c r="C55" s="134">
        <f>+$D$2*19</f>
        <v>14016623</v>
      </c>
      <c r="D55" s="134">
        <f>+$D$2*20-1</f>
        <v>14754339</v>
      </c>
      <c r="E55" s="133">
        <v>0.04</v>
      </c>
      <c r="F55" s="132">
        <f>+G55-G54</f>
        <v>2.0000000000000018E-3</v>
      </c>
      <c r="G55" s="133">
        <f t="shared" si="17"/>
        <v>1.8000000000000002E-2</v>
      </c>
      <c r="H55" s="133">
        <f t="shared" si="17"/>
        <v>5.800000000000001E-2</v>
      </c>
      <c r="M55" s="151">
        <f t="shared" si="15"/>
        <v>0</v>
      </c>
      <c r="N55" s="151">
        <f t="shared" si="16"/>
        <v>0</v>
      </c>
    </row>
    <row r="56" spans="1:14" hidden="1" x14ac:dyDescent="0.25">
      <c r="A56" s="131" t="s">
        <v>60</v>
      </c>
      <c r="B56" s="157">
        <f t="shared" si="14"/>
        <v>0</v>
      </c>
      <c r="C56" s="134">
        <f>+$D$2*20</f>
        <v>14754340</v>
      </c>
      <c r="D56" s="134" t="s">
        <v>68</v>
      </c>
      <c r="E56" s="133">
        <v>0.04</v>
      </c>
      <c r="F56" s="132">
        <f>+G56-G55</f>
        <v>2.0000000000000018E-3</v>
      </c>
      <c r="G56" s="133">
        <f t="shared" si="17"/>
        <v>2.0000000000000004E-2</v>
      </c>
      <c r="H56" s="133">
        <f t="shared" si="17"/>
        <v>6.0000000000000012E-2</v>
      </c>
      <c r="M56" s="151">
        <f t="shared" si="15"/>
        <v>0</v>
      </c>
      <c r="N56" s="151">
        <f t="shared" si="16"/>
        <v>0</v>
      </c>
    </row>
    <row r="57" spans="1:14" hidden="1" x14ac:dyDescent="0.25">
      <c r="M57" s="151"/>
      <c r="N57" s="151"/>
    </row>
    <row r="58" spans="1:14" hidden="1" x14ac:dyDescent="0.25">
      <c r="M58" s="151"/>
      <c r="N58" s="151"/>
    </row>
    <row r="59" spans="1:14" x14ac:dyDescent="0.25">
      <c r="M59" s="151"/>
      <c r="N59" s="151"/>
    </row>
    <row r="60" spans="1:14" x14ac:dyDescent="0.25">
      <c r="M60" s="151"/>
      <c r="N60" s="151"/>
    </row>
    <row r="61" spans="1:14" x14ac:dyDescent="0.25">
      <c r="M61" s="151"/>
      <c r="N61" s="151"/>
    </row>
    <row r="62" spans="1:14" x14ac:dyDescent="0.25">
      <c r="M62" s="151"/>
      <c r="N62" s="151"/>
    </row>
    <row r="63" spans="1:14" x14ac:dyDescent="0.25">
      <c r="M63" s="151"/>
      <c r="N63" s="151"/>
    </row>
    <row r="64" spans="1:14" x14ac:dyDescent="0.25">
      <c r="M64" s="151"/>
      <c r="N64" s="151"/>
    </row>
    <row r="65" spans="13:14" x14ac:dyDescent="0.25">
      <c r="M65" s="151"/>
      <c r="N65" s="151"/>
    </row>
    <row r="66" spans="13:14" x14ac:dyDescent="0.25">
      <c r="M66" s="151"/>
      <c r="N66" s="151"/>
    </row>
    <row r="67" spans="13:14" x14ac:dyDescent="0.25">
      <c r="M67" s="151"/>
      <c r="N67" s="151"/>
    </row>
    <row r="68" spans="13:14" x14ac:dyDescent="0.25">
      <c r="M68" s="151"/>
      <c r="N68" s="151"/>
    </row>
    <row r="69" spans="13:14" x14ac:dyDescent="0.25">
      <c r="M69" s="151"/>
      <c r="N69" s="151"/>
    </row>
    <row r="70" spans="13:14" x14ac:dyDescent="0.25">
      <c r="M70" s="151"/>
      <c r="N70" s="151"/>
    </row>
    <row r="71" spans="13:14" x14ac:dyDescent="0.25">
      <c r="M71" s="151"/>
      <c r="N71" s="151"/>
    </row>
    <row r="72" spans="13:14" x14ac:dyDescent="0.25">
      <c r="M72" s="151"/>
      <c r="N72" s="151"/>
    </row>
    <row r="73" spans="13:14" x14ac:dyDescent="0.25">
      <c r="M73" s="151"/>
      <c r="N73" s="151"/>
    </row>
    <row r="74" spans="13:14" x14ac:dyDescent="0.25">
      <c r="M74" s="151"/>
      <c r="N74" s="151"/>
    </row>
    <row r="75" spans="13:14" x14ac:dyDescent="0.25">
      <c r="M75" s="151"/>
      <c r="N75" s="151"/>
    </row>
    <row r="76" spans="13:14" x14ac:dyDescent="0.25">
      <c r="M76" s="151"/>
      <c r="N76" s="151"/>
    </row>
    <row r="77" spans="13:14" x14ac:dyDescent="0.25">
      <c r="M77" s="151"/>
      <c r="N77" s="151"/>
    </row>
    <row r="78" spans="13:14" x14ac:dyDescent="0.25">
      <c r="M78" s="151"/>
      <c r="N78" s="151"/>
    </row>
    <row r="79" spans="13:14" x14ac:dyDescent="0.25">
      <c r="M79" s="151"/>
      <c r="N79" s="151"/>
    </row>
    <row r="80" spans="13:14" x14ac:dyDescent="0.25">
      <c r="M80" s="151"/>
      <c r="N80" s="151"/>
    </row>
    <row r="81" spans="13:14" x14ac:dyDescent="0.25">
      <c r="M81" s="151"/>
      <c r="N81" s="151"/>
    </row>
    <row r="82" spans="13:14" x14ac:dyDescent="0.25">
      <c r="M82" s="151"/>
      <c r="N82" s="151"/>
    </row>
    <row r="83" spans="13:14" x14ac:dyDescent="0.25">
      <c r="M83" s="151"/>
      <c r="N83" s="151"/>
    </row>
    <row r="84" spans="13:14" x14ac:dyDescent="0.25">
      <c r="M84" s="151"/>
      <c r="N84" s="151"/>
    </row>
    <row r="85" spans="13:14" x14ac:dyDescent="0.25">
      <c r="M85" s="151"/>
      <c r="N85" s="151"/>
    </row>
    <row r="86" spans="13:14" x14ac:dyDescent="0.25">
      <c r="M86" s="151"/>
      <c r="N86" s="151"/>
    </row>
    <row r="87" spans="13:14" x14ac:dyDescent="0.25">
      <c r="M87" s="151"/>
      <c r="N87" s="151"/>
    </row>
    <row r="88" spans="13:14" x14ac:dyDescent="0.25">
      <c r="M88" s="151"/>
      <c r="N88" s="151"/>
    </row>
    <row r="89" spans="13:14" x14ac:dyDescent="0.25">
      <c r="M89" s="151"/>
      <c r="N89" s="151"/>
    </row>
    <row r="90" spans="13:14" x14ac:dyDescent="0.25">
      <c r="M90" s="151"/>
      <c r="N90" s="151"/>
    </row>
    <row r="91" spans="13:14" x14ac:dyDescent="0.25">
      <c r="M91" s="151"/>
      <c r="N91" s="151"/>
    </row>
    <row r="92" spans="13:14" x14ac:dyDescent="0.25">
      <c r="M92" s="151"/>
      <c r="N92" s="151"/>
    </row>
    <row r="93" spans="13:14" x14ac:dyDescent="0.25">
      <c r="M93" s="151"/>
      <c r="N93" s="151"/>
    </row>
    <row r="94" spans="13:14" x14ac:dyDescent="0.25">
      <c r="M94" s="151"/>
      <c r="N94" s="151"/>
    </row>
    <row r="95" spans="13:14" x14ac:dyDescent="0.25">
      <c r="M95" s="151"/>
      <c r="N95" s="151"/>
    </row>
    <row r="96" spans="13:14" x14ac:dyDescent="0.25">
      <c r="M96" s="151"/>
      <c r="N96" s="151"/>
    </row>
    <row r="97" spans="13:14" x14ac:dyDescent="0.25">
      <c r="M97" s="151"/>
      <c r="N97" s="151"/>
    </row>
    <row r="98" spans="13:14" x14ac:dyDescent="0.25">
      <c r="M98" s="151"/>
      <c r="N98" s="151"/>
    </row>
    <row r="99" spans="13:14" x14ac:dyDescent="0.25">
      <c r="M99" s="151"/>
      <c r="N99" s="151"/>
    </row>
    <row r="100" spans="13:14" x14ac:dyDescent="0.25">
      <c r="M100" s="151"/>
      <c r="N100" s="151"/>
    </row>
    <row r="101" spans="13:14" x14ac:dyDescent="0.25">
      <c r="M101" s="151"/>
      <c r="N101" s="151"/>
    </row>
    <row r="102" spans="13:14" x14ac:dyDescent="0.25">
      <c r="M102" s="151"/>
      <c r="N102" s="151"/>
    </row>
    <row r="103" spans="13:14" x14ac:dyDescent="0.25">
      <c r="M103" s="151"/>
      <c r="N103" s="151"/>
    </row>
    <row r="104" spans="13:14" x14ac:dyDescent="0.25">
      <c r="M104" s="151"/>
      <c r="N104" s="151"/>
    </row>
    <row r="105" spans="13:14" x14ac:dyDescent="0.25">
      <c r="M105" s="151"/>
      <c r="N105" s="151"/>
    </row>
    <row r="106" spans="13:14" x14ac:dyDescent="0.25">
      <c r="M106" s="151"/>
      <c r="N106" s="151"/>
    </row>
    <row r="107" spans="13:14" x14ac:dyDescent="0.25">
      <c r="M107" s="151"/>
      <c r="N107" s="151"/>
    </row>
    <row r="108" spans="13:14" x14ac:dyDescent="0.25">
      <c r="M108" s="151"/>
      <c r="N108" s="151"/>
    </row>
    <row r="109" spans="13:14" x14ac:dyDescent="0.25">
      <c r="M109" s="151"/>
      <c r="N109" s="151"/>
    </row>
    <row r="110" spans="13:14" x14ac:dyDescent="0.25">
      <c r="M110" s="151"/>
      <c r="N110" s="151"/>
    </row>
    <row r="111" spans="13:14" x14ac:dyDescent="0.25">
      <c r="M111" s="151"/>
      <c r="N111" s="151"/>
    </row>
    <row r="112" spans="13:14" x14ac:dyDescent="0.25">
      <c r="M112" s="151"/>
      <c r="N112" s="151"/>
    </row>
    <row r="113" spans="13:14" x14ac:dyDescent="0.25">
      <c r="M113" s="151"/>
      <c r="N113" s="151"/>
    </row>
    <row r="114" spans="13:14" x14ac:dyDescent="0.25">
      <c r="M114" s="151"/>
      <c r="N114" s="151"/>
    </row>
    <row r="115" spans="13:14" x14ac:dyDescent="0.25">
      <c r="M115" s="151"/>
      <c r="N115" s="151"/>
    </row>
    <row r="116" spans="13:14" x14ac:dyDescent="0.25">
      <c r="M116" s="151"/>
      <c r="N116" s="151"/>
    </row>
    <row r="117" spans="13:14" x14ac:dyDescent="0.25">
      <c r="M117" s="151"/>
      <c r="N117" s="151"/>
    </row>
    <row r="118" spans="13:14" x14ac:dyDescent="0.25">
      <c r="M118" s="151"/>
      <c r="N118" s="151"/>
    </row>
    <row r="119" spans="13:14" x14ac:dyDescent="0.25">
      <c r="M119" s="151"/>
      <c r="N119" s="151"/>
    </row>
    <row r="120" spans="13:14" x14ac:dyDescent="0.25">
      <c r="M120" s="151"/>
      <c r="N120" s="151"/>
    </row>
    <row r="121" spans="13:14" x14ac:dyDescent="0.25">
      <c r="M121" s="151"/>
      <c r="N121" s="151"/>
    </row>
    <row r="122" spans="13:14" x14ac:dyDescent="0.25">
      <c r="M122" s="151"/>
      <c r="N122" s="151"/>
    </row>
  </sheetData>
  <sheetProtection password="941B"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V100"/>
  <sheetViews>
    <sheetView showGridLines="0" zoomScaleNormal="100" workbookViewId="0">
      <selection activeCell="F53" sqref="F53"/>
    </sheetView>
  </sheetViews>
  <sheetFormatPr baseColWidth="10" defaultColWidth="11.5703125" defaultRowHeight="15" x14ac:dyDescent="0.25"/>
  <cols>
    <col min="1" max="1" width="0.85546875" style="154" customWidth="1"/>
    <col min="2" max="2" width="9.42578125" style="154" bestFit="1" customWidth="1"/>
    <col min="3" max="3" width="79.5703125" style="154" customWidth="1"/>
    <col min="4" max="4" width="11.28515625" style="154" customWidth="1"/>
    <col min="5" max="5" width="23" style="154" hidden="1" customWidth="1"/>
    <col min="6" max="6" width="16.85546875" style="154" customWidth="1"/>
    <col min="7" max="7" width="16" style="154" customWidth="1"/>
    <col min="8" max="9" width="15.140625" style="154" hidden="1" customWidth="1"/>
    <col min="10" max="10" width="7.85546875" style="154" hidden="1" customWidth="1"/>
    <col min="11" max="11" width="13.7109375" style="154" hidden="1" customWidth="1"/>
    <col min="12" max="12" width="7.85546875" style="154" hidden="1" customWidth="1"/>
    <col min="13" max="13" width="13.7109375" style="154" hidden="1" customWidth="1"/>
    <col min="14" max="14" width="15.5703125" style="687" hidden="1" customWidth="1"/>
    <col min="15" max="15" width="13.140625" style="204" hidden="1" customWidth="1"/>
    <col min="16" max="16" width="15.28515625" style="154" hidden="1" customWidth="1"/>
    <col min="17" max="17" width="7" style="154" hidden="1" customWidth="1"/>
    <col min="18" max="19" width="15.28515625" style="154" hidden="1" customWidth="1"/>
    <col min="20" max="20" width="0.7109375" style="154" customWidth="1"/>
    <col min="21" max="21" width="21.42578125" style="154" hidden="1" customWidth="1"/>
    <col min="22" max="16384" width="11.5703125" style="154"/>
  </cols>
  <sheetData>
    <row r="7" spans="1:15" ht="20.25" customHeight="1" thickBot="1" x14ac:dyDescent="0.3"/>
    <row r="8" spans="1:15" s="499" customFormat="1" ht="22.5" customHeight="1" thickBot="1" x14ac:dyDescent="0.3">
      <c r="A8" s="571"/>
      <c r="B8" s="718" t="s">
        <v>378</v>
      </c>
      <c r="C8" s="719"/>
      <c r="D8" s="719"/>
      <c r="E8" s="719"/>
      <c r="F8" s="719"/>
      <c r="G8" s="720"/>
      <c r="H8" s="716"/>
      <c r="I8" s="716"/>
      <c r="J8" s="716"/>
      <c r="K8" s="716"/>
      <c r="L8" s="716"/>
      <c r="M8" s="717"/>
      <c r="N8" s="321"/>
      <c r="O8" s="715"/>
    </row>
    <row r="9" spans="1:15" s="499" customFormat="1" ht="22.5" customHeight="1" thickBot="1" x14ac:dyDescent="0.3">
      <c r="A9" s="571"/>
      <c r="B9" s="966" t="s">
        <v>380</v>
      </c>
      <c r="C9" s="967"/>
      <c r="D9" s="967"/>
      <c r="E9" s="967"/>
      <c r="F9" s="967"/>
      <c r="G9" s="968"/>
      <c r="H9" s="716"/>
      <c r="I9" s="716"/>
      <c r="J9" s="716"/>
      <c r="K9" s="716"/>
      <c r="L9" s="716"/>
      <c r="M9" s="717"/>
      <c r="N9" s="321"/>
      <c r="O9" s="715"/>
    </row>
    <row r="10" spans="1:15" s="499" customFormat="1" ht="12" hidden="1" customHeight="1" x14ac:dyDescent="0.3">
      <c r="B10" s="949"/>
      <c r="C10" s="950" t="s">
        <v>123</v>
      </c>
      <c r="D10" s="950"/>
      <c r="E10" s="950"/>
      <c r="F10" s="950"/>
      <c r="G10" s="951"/>
      <c r="H10" s="770"/>
      <c r="I10" s="770"/>
      <c r="J10" s="770"/>
      <c r="K10" s="770"/>
      <c r="L10" s="770"/>
      <c r="M10" s="772"/>
      <c r="N10" s="321"/>
      <c r="O10" s="572"/>
    </row>
    <row r="11" spans="1:15" s="570" customFormat="1" ht="15.75" hidden="1" customHeight="1" x14ac:dyDescent="0.3">
      <c r="B11" s="706"/>
      <c r="C11" s="662"/>
      <c r="D11" s="662"/>
      <c r="E11" s="660"/>
      <c r="F11" s="660"/>
      <c r="G11" s="721"/>
      <c r="H11" s="581"/>
      <c r="I11" s="581"/>
      <c r="J11" s="581"/>
      <c r="K11" s="581"/>
      <c r="L11" s="581"/>
      <c r="M11" s="582"/>
      <c r="N11" s="568"/>
      <c r="O11" s="569"/>
    </row>
    <row r="12" spans="1:15" s="570" customFormat="1" ht="15.75" hidden="1" customHeight="1" x14ac:dyDescent="0.3">
      <c r="B12" s="706"/>
      <c r="C12" s="662"/>
      <c r="D12" s="662"/>
      <c r="E12" s="660"/>
      <c r="F12" s="660"/>
      <c r="G12" s="721"/>
      <c r="H12" s="581"/>
      <c r="I12" s="581"/>
      <c r="J12" s="581"/>
      <c r="K12" s="581"/>
      <c r="L12" s="581"/>
      <c r="M12" s="582"/>
      <c r="N12" s="568"/>
      <c r="O12" s="569"/>
    </row>
    <row r="13" spans="1:15" s="570" customFormat="1" ht="15.75" hidden="1" customHeight="1" x14ac:dyDescent="0.3">
      <c r="B13" s="707"/>
      <c r="C13" s="876"/>
      <c r="D13" s="662"/>
      <c r="E13" s="660"/>
      <c r="F13" s="660"/>
      <c r="G13" s="721"/>
      <c r="H13" s="581"/>
      <c r="I13" s="581"/>
      <c r="J13" s="581"/>
      <c r="K13" s="581"/>
      <c r="L13" s="581"/>
      <c r="M13" s="582"/>
      <c r="N13" s="687" t="s">
        <v>15</v>
      </c>
      <c r="O13" s="687" t="s">
        <v>98</v>
      </c>
    </row>
    <row r="14" spans="1:15" s="499" customFormat="1" ht="15.75" hidden="1" thickBot="1" x14ac:dyDescent="0.3">
      <c r="B14" s="707"/>
      <c r="C14" s="876"/>
      <c r="D14" s="662"/>
      <c r="E14" s="661"/>
      <c r="F14" s="662"/>
      <c r="G14" s="722"/>
      <c r="H14" s="553"/>
      <c r="I14" s="553"/>
      <c r="J14" s="553"/>
      <c r="K14" s="553"/>
      <c r="L14" s="553"/>
      <c r="M14" s="571"/>
      <c r="N14" s="321" t="s">
        <v>83</v>
      </c>
      <c r="O14" s="687" t="s">
        <v>99</v>
      </c>
    </row>
    <row r="15" spans="1:15" ht="15.75" thickBot="1" x14ac:dyDescent="0.3">
      <c r="B15" s="969" t="s">
        <v>220</v>
      </c>
      <c r="C15" s="970"/>
      <c r="D15" s="971"/>
      <c r="E15" s="972"/>
      <c r="F15" s="973"/>
      <c r="G15" s="974"/>
      <c r="H15" s="539"/>
      <c r="I15" s="539"/>
      <c r="J15" s="489"/>
      <c r="K15" s="489"/>
      <c r="L15" s="489"/>
      <c r="M15" s="550"/>
      <c r="N15" s="687" t="s">
        <v>123</v>
      </c>
    </row>
    <row r="16" spans="1:15" x14ac:dyDescent="0.25">
      <c r="B16" s="513"/>
      <c r="C16" s="878"/>
      <c r="D16" s="513"/>
      <c r="E16" s="153"/>
      <c r="F16" s="513" t="s">
        <v>202</v>
      </c>
      <c r="G16" s="633">
        <f>+'Cálculo % Fijo de Ret.Fte.'!G16</f>
        <v>31859</v>
      </c>
      <c r="H16" s="489"/>
      <c r="I16" s="489"/>
      <c r="J16" s="489"/>
      <c r="K16" s="489"/>
      <c r="L16" s="489"/>
      <c r="M16" s="550"/>
      <c r="N16" s="687" t="s">
        <v>122</v>
      </c>
    </row>
    <row r="17" spans="2:19" ht="15.75" thickBot="1" x14ac:dyDescent="0.3">
      <c r="B17" s="634"/>
      <c r="C17" s="879"/>
      <c r="D17" s="634"/>
      <c r="E17" s="489"/>
      <c r="F17" s="634" t="s">
        <v>203</v>
      </c>
      <c r="G17" s="635">
        <f>+'Cálculo % Fijo de Ret.Fte.'!G17</f>
        <v>737717</v>
      </c>
      <c r="H17" s="489"/>
      <c r="I17" s="489"/>
      <c r="J17" s="489"/>
      <c r="K17" s="489"/>
      <c r="L17" s="489"/>
      <c r="M17" s="550"/>
      <c r="N17" s="687" t="s">
        <v>124</v>
      </c>
    </row>
    <row r="18" spans="2:19" s="607" customFormat="1" ht="15.75" hidden="1" thickBot="1" x14ac:dyDescent="0.3">
      <c r="B18" s="708"/>
      <c r="C18" s="636"/>
      <c r="D18" s="636"/>
      <c r="E18" s="637"/>
      <c r="F18" s="636"/>
      <c r="G18" s="723"/>
      <c r="M18" s="709"/>
      <c r="N18" s="309"/>
      <c r="O18" s="310"/>
    </row>
    <row r="19" spans="2:19" x14ac:dyDescent="0.25">
      <c r="B19" s="611" t="s">
        <v>224</v>
      </c>
      <c r="C19" s="880"/>
      <c r="D19" s="612"/>
      <c r="E19" s="613"/>
      <c r="F19" s="614"/>
      <c r="G19" s="615"/>
      <c r="H19" s="539"/>
      <c r="I19" s="539"/>
      <c r="J19" s="489"/>
      <c r="K19" s="489"/>
      <c r="L19" s="489"/>
      <c r="M19" s="550"/>
      <c r="N19" s="687" t="s">
        <v>123</v>
      </c>
      <c r="S19" s="687"/>
    </row>
    <row r="20" spans="2:19" s="625" customFormat="1" ht="11.25" x14ac:dyDescent="0.2">
      <c r="B20" s="912" t="s">
        <v>225</v>
      </c>
      <c r="C20" s="910"/>
      <c r="D20" s="617"/>
      <c r="E20" s="911"/>
      <c r="F20" s="619"/>
      <c r="G20" s="619" t="s">
        <v>226</v>
      </c>
      <c r="H20" s="620"/>
      <c r="I20" s="620"/>
      <c r="J20" s="621"/>
      <c r="K20" s="621"/>
      <c r="L20" s="621"/>
      <c r="M20" s="622"/>
      <c r="N20" s="623"/>
      <c r="O20" s="624"/>
      <c r="S20" s="623"/>
    </row>
    <row r="21" spans="2:19" x14ac:dyDescent="0.25">
      <c r="B21" s="1023">
        <f>+'Cálculo % Fijo de Ret.Fte.'!B21</f>
        <v>0</v>
      </c>
      <c r="C21" s="1024"/>
      <c r="D21" s="1024"/>
      <c r="E21" s="1024"/>
      <c r="F21" s="1025"/>
      <c r="G21" s="652">
        <f>+'Cálculo % Fijo de Ret.Fte.'!G21</f>
        <v>0</v>
      </c>
      <c r="H21" s="583"/>
      <c r="I21" s="583"/>
      <c r="J21" s="489"/>
      <c r="K21" s="489"/>
      <c r="L21" s="489"/>
      <c r="M21" s="550"/>
      <c r="S21" s="687"/>
    </row>
    <row r="22" spans="2:19" x14ac:dyDescent="0.25">
      <c r="B22" s="626" t="s">
        <v>227</v>
      </c>
      <c r="C22" s="881"/>
      <c r="D22" s="627"/>
      <c r="E22" s="628"/>
      <c r="F22" s="629"/>
      <c r="G22" s="630"/>
      <c r="H22" s="539"/>
      <c r="I22" s="539"/>
      <c r="J22" s="489"/>
      <c r="K22" s="489"/>
      <c r="L22" s="489"/>
      <c r="M22" s="550"/>
      <c r="N22" s="687" t="s">
        <v>123</v>
      </c>
      <c r="S22" s="687"/>
    </row>
    <row r="23" spans="2:19" s="625" customFormat="1" ht="11.25" x14ac:dyDescent="0.2">
      <c r="B23" s="912" t="s">
        <v>228</v>
      </c>
      <c r="C23" s="910"/>
      <c r="D23" s="617"/>
      <c r="E23" s="911"/>
      <c r="F23" s="619"/>
      <c r="G23" s="619" t="s">
        <v>230</v>
      </c>
      <c r="H23" s="620"/>
      <c r="I23" s="620"/>
      <c r="J23" s="621"/>
      <c r="K23" s="621"/>
      <c r="L23" s="621"/>
      <c r="M23" s="622"/>
      <c r="N23" s="623"/>
      <c r="O23" s="624"/>
      <c r="S23" s="623"/>
    </row>
    <row r="24" spans="2:19" x14ac:dyDescent="0.25">
      <c r="B24" s="1023">
        <f>+'Ret.Fte.Mes (Procedimiento 2)'!B24</f>
        <v>0</v>
      </c>
      <c r="C24" s="1024"/>
      <c r="D24" s="1024"/>
      <c r="E24" s="1024"/>
      <c r="F24" s="1025"/>
      <c r="G24" s="705">
        <f>+'Cálculo % Fijo de Ret.Fte.'!G24</f>
        <v>0</v>
      </c>
      <c r="H24" s="514"/>
      <c r="I24" s="514"/>
      <c r="J24" s="489"/>
      <c r="K24" s="489"/>
      <c r="L24" s="489"/>
      <c r="M24" s="550"/>
      <c r="S24" s="687"/>
    </row>
    <row r="25" spans="2:19" hidden="1" x14ac:dyDescent="0.25">
      <c r="B25" s="640"/>
      <c r="C25" s="640"/>
      <c r="D25" s="267"/>
      <c r="E25" s="267"/>
      <c r="F25" s="641"/>
      <c r="G25" s="724"/>
      <c r="H25" s="585"/>
      <c r="I25" s="585"/>
      <c r="J25" s="489"/>
      <c r="K25" s="489"/>
      <c r="L25" s="489"/>
      <c r="M25" s="550"/>
    </row>
    <row r="26" spans="2:19" hidden="1" x14ac:dyDescent="0.25">
      <c r="B26" s="611"/>
      <c r="C26" s="611" t="s">
        <v>229</v>
      </c>
      <c r="D26" s="612"/>
      <c r="E26" s="613"/>
      <c r="F26" s="614"/>
      <c r="G26" s="615"/>
      <c r="H26" s="539"/>
      <c r="I26" s="539"/>
      <c r="J26" s="489"/>
      <c r="K26" s="489"/>
      <c r="L26" s="489"/>
      <c r="M26" s="550"/>
      <c r="S26" s="687"/>
    </row>
    <row r="27" spans="2:19" hidden="1" x14ac:dyDescent="0.25">
      <c r="B27" s="513"/>
      <c r="C27" s="513"/>
      <c r="D27" s="513" t="s">
        <v>215</v>
      </c>
      <c r="E27" s="520"/>
      <c r="F27" s="732">
        <v>42339</v>
      </c>
      <c r="G27" s="733">
        <v>42704</v>
      </c>
      <c r="H27" s="583"/>
      <c r="I27" s="583"/>
      <c r="J27" s="489"/>
      <c r="K27" s="489"/>
      <c r="L27" s="489"/>
      <c r="M27" s="550"/>
    </row>
    <row r="28" spans="2:19" ht="15.75" hidden="1" thickBot="1" x14ac:dyDescent="0.3">
      <c r="B28" s="518"/>
      <c r="C28" s="518"/>
      <c r="D28" s="518" t="s">
        <v>216</v>
      </c>
      <c r="E28" s="512"/>
      <c r="F28" s="584">
        <f>+G28/30</f>
        <v>12.2</v>
      </c>
      <c r="G28" s="519">
        <f>+G27-F27+1</f>
        <v>366</v>
      </c>
      <c r="H28" s="514"/>
      <c r="I28" s="514"/>
      <c r="J28" s="489"/>
      <c r="K28" s="489"/>
      <c r="L28" s="489"/>
      <c r="M28" s="550"/>
    </row>
    <row r="29" spans="2:19" s="607" customFormat="1" hidden="1" x14ac:dyDescent="0.25">
      <c r="B29" s="710"/>
      <c r="C29" s="710"/>
      <c r="D29" s="631"/>
      <c r="F29" s="639"/>
      <c r="G29" s="725"/>
      <c r="H29" s="632"/>
      <c r="I29" s="632"/>
      <c r="M29" s="709"/>
      <c r="N29" s="309"/>
      <c r="O29" s="310"/>
    </row>
    <row r="30" spans="2:19" x14ac:dyDescent="0.25">
      <c r="B30" s="886" t="s">
        <v>366</v>
      </c>
      <c r="C30" s="537" t="s">
        <v>219</v>
      </c>
      <c r="D30" s="538"/>
      <c r="E30" s="552"/>
      <c r="F30" s="511" t="s">
        <v>213</v>
      </c>
      <c r="G30" s="586" t="s">
        <v>214</v>
      </c>
      <c r="H30" s="587"/>
      <c r="I30" s="587"/>
      <c r="J30" s="489"/>
      <c r="K30" s="489"/>
      <c r="L30" s="489"/>
      <c r="M30" s="550"/>
    </row>
    <row r="31" spans="2:19" x14ac:dyDescent="0.25">
      <c r="B31" s="887">
        <v>1</v>
      </c>
      <c r="C31" s="507" t="s">
        <v>381</v>
      </c>
      <c r="D31" s="510"/>
      <c r="E31" s="489"/>
      <c r="F31" s="575">
        <v>0</v>
      </c>
      <c r="G31" s="594">
        <f t="shared" ref="G31:G42" si="0">IF(F31&gt;0,+F31/$F$44,0)</f>
        <v>0</v>
      </c>
      <c r="H31" s="540"/>
      <c r="I31" s="540"/>
      <c r="J31" s="489"/>
      <c r="K31" s="489"/>
      <c r="L31" s="489"/>
      <c r="M31" s="550"/>
    </row>
    <row r="32" spans="2:19" x14ac:dyDescent="0.25">
      <c r="B32" s="887">
        <f>+B31+1</f>
        <v>2</v>
      </c>
      <c r="C32" s="507" t="s">
        <v>204</v>
      </c>
      <c r="D32" s="510"/>
      <c r="E32" s="489"/>
      <c r="F32" s="576">
        <v>0</v>
      </c>
      <c r="G32" s="594">
        <f t="shared" si="0"/>
        <v>0</v>
      </c>
      <c r="H32" s="540"/>
      <c r="I32" s="540"/>
      <c r="J32" s="489"/>
      <c r="K32" s="489"/>
      <c r="L32" s="489"/>
      <c r="M32" s="550"/>
    </row>
    <row r="33" spans="2:13" x14ac:dyDescent="0.25">
      <c r="B33" s="887">
        <f t="shared" ref="B33:B90" si="1">+B32+1</f>
        <v>3</v>
      </c>
      <c r="C33" s="507" t="s">
        <v>193</v>
      </c>
      <c r="D33" s="510"/>
      <c r="E33" s="489"/>
      <c r="F33" s="576">
        <v>0</v>
      </c>
      <c r="G33" s="594">
        <f t="shared" si="0"/>
        <v>0</v>
      </c>
      <c r="H33" s="540"/>
      <c r="I33" s="540"/>
      <c r="J33" s="489"/>
      <c r="K33" s="489"/>
      <c r="L33" s="489"/>
      <c r="M33" s="550"/>
    </row>
    <row r="34" spans="2:13" x14ac:dyDescent="0.25">
      <c r="B34" s="887">
        <f t="shared" si="1"/>
        <v>4</v>
      </c>
      <c r="C34" s="507" t="s">
        <v>194</v>
      </c>
      <c r="D34" s="510"/>
      <c r="E34" s="489"/>
      <c r="F34" s="576">
        <v>0</v>
      </c>
      <c r="G34" s="594">
        <f t="shared" si="0"/>
        <v>0</v>
      </c>
      <c r="H34" s="540"/>
      <c r="I34" s="540"/>
      <c r="J34" s="489"/>
      <c r="K34" s="489"/>
      <c r="L34" s="489"/>
      <c r="M34" s="550"/>
    </row>
    <row r="35" spans="2:13" x14ac:dyDescent="0.25">
      <c r="B35" s="887">
        <f t="shared" si="1"/>
        <v>5</v>
      </c>
      <c r="C35" s="507" t="s">
        <v>195</v>
      </c>
      <c r="D35" s="510"/>
      <c r="E35" s="489"/>
      <c r="F35" s="576">
        <v>0</v>
      </c>
      <c r="G35" s="594">
        <f t="shared" si="0"/>
        <v>0</v>
      </c>
      <c r="H35" s="540"/>
      <c r="I35" s="540"/>
      <c r="J35" s="489"/>
      <c r="K35" s="489"/>
      <c r="L35" s="489"/>
      <c r="M35" s="550"/>
    </row>
    <row r="36" spans="2:13" x14ac:dyDescent="0.25">
      <c r="B36" s="887">
        <f t="shared" si="1"/>
        <v>6</v>
      </c>
      <c r="C36" s="507" t="s">
        <v>198</v>
      </c>
      <c r="D36" s="510"/>
      <c r="E36" s="489"/>
      <c r="F36" s="576">
        <v>0</v>
      </c>
      <c r="G36" s="594">
        <f t="shared" si="0"/>
        <v>0</v>
      </c>
      <c r="H36" s="540"/>
      <c r="I36" s="540"/>
      <c r="J36" s="489"/>
      <c r="K36" s="489"/>
      <c r="L36" s="489"/>
      <c r="M36" s="550"/>
    </row>
    <row r="37" spans="2:13" x14ac:dyDescent="0.25">
      <c r="B37" s="887">
        <f t="shared" si="1"/>
        <v>7</v>
      </c>
      <c r="C37" s="507" t="s">
        <v>191</v>
      </c>
      <c r="D37" s="510"/>
      <c r="E37" s="489"/>
      <c r="F37" s="576">
        <v>0</v>
      </c>
      <c r="G37" s="594">
        <f t="shared" si="0"/>
        <v>0</v>
      </c>
      <c r="H37" s="540"/>
      <c r="I37" s="540"/>
      <c r="J37" s="489"/>
      <c r="K37" s="489"/>
      <c r="L37" s="489"/>
      <c r="M37" s="550"/>
    </row>
    <row r="38" spans="2:13" x14ac:dyDescent="0.25">
      <c r="B38" s="887">
        <f t="shared" si="1"/>
        <v>8</v>
      </c>
      <c r="C38" s="507" t="s">
        <v>196</v>
      </c>
      <c r="D38" s="510"/>
      <c r="E38" s="489"/>
      <c r="F38" s="576">
        <v>0</v>
      </c>
      <c r="G38" s="594">
        <f t="shared" si="0"/>
        <v>0</v>
      </c>
      <c r="H38" s="540"/>
      <c r="I38" s="540"/>
      <c r="J38" s="489"/>
      <c r="K38" s="489"/>
      <c r="L38" s="489"/>
      <c r="M38" s="550"/>
    </row>
    <row r="39" spans="2:13" x14ac:dyDescent="0.25">
      <c r="B39" s="887">
        <f t="shared" si="1"/>
        <v>9</v>
      </c>
      <c r="C39" s="507" t="s">
        <v>197</v>
      </c>
      <c r="D39" s="510"/>
      <c r="E39" s="489"/>
      <c r="F39" s="576">
        <v>0</v>
      </c>
      <c r="G39" s="594">
        <f t="shared" si="0"/>
        <v>0</v>
      </c>
      <c r="H39" s="540"/>
      <c r="I39" s="540"/>
      <c r="J39" s="489"/>
      <c r="K39" s="489"/>
      <c r="L39" s="489"/>
      <c r="M39" s="550"/>
    </row>
    <row r="40" spans="2:13" x14ac:dyDescent="0.25">
      <c r="B40" s="887">
        <f t="shared" si="1"/>
        <v>10</v>
      </c>
      <c r="C40" s="507" t="s">
        <v>199</v>
      </c>
      <c r="D40" s="510"/>
      <c r="E40" s="489"/>
      <c r="F40" s="576">
        <v>0</v>
      </c>
      <c r="G40" s="594">
        <f t="shared" si="0"/>
        <v>0</v>
      </c>
      <c r="H40" s="540"/>
      <c r="I40" s="540"/>
      <c r="J40" s="489"/>
      <c r="K40" s="489"/>
      <c r="L40" s="489"/>
      <c r="M40" s="550"/>
    </row>
    <row r="41" spans="2:13" x14ac:dyDescent="0.25">
      <c r="B41" s="887">
        <f t="shared" si="1"/>
        <v>11</v>
      </c>
      <c r="C41" s="507" t="s">
        <v>192</v>
      </c>
      <c r="D41" s="510"/>
      <c r="E41" s="489"/>
      <c r="F41" s="576">
        <v>0</v>
      </c>
      <c r="G41" s="594">
        <f t="shared" si="0"/>
        <v>0</v>
      </c>
      <c r="H41" s="540"/>
      <c r="I41" s="540"/>
      <c r="J41" s="489"/>
      <c r="K41" s="489"/>
      <c r="L41" s="489"/>
      <c r="M41" s="550"/>
    </row>
    <row r="42" spans="2:13" x14ac:dyDescent="0.25">
      <c r="B42" s="887">
        <f t="shared" si="1"/>
        <v>12</v>
      </c>
      <c r="C42" s="507" t="s">
        <v>200</v>
      </c>
      <c r="D42" s="510"/>
      <c r="E42" s="489"/>
      <c r="F42" s="576">
        <v>0</v>
      </c>
      <c r="G42" s="594">
        <f t="shared" si="0"/>
        <v>0</v>
      </c>
      <c r="H42" s="540"/>
      <c r="I42" s="540"/>
      <c r="J42" s="489"/>
      <c r="K42" s="489"/>
      <c r="L42" s="489"/>
      <c r="M42" s="550"/>
    </row>
    <row r="43" spans="2:13" x14ac:dyDescent="0.25">
      <c r="B43" s="889">
        <f t="shared" si="1"/>
        <v>13</v>
      </c>
      <c r="C43" s="508" t="s">
        <v>201</v>
      </c>
      <c r="D43" s="509"/>
      <c r="E43" s="489"/>
      <c r="F43" s="588">
        <f>-F42</f>
        <v>0</v>
      </c>
      <c r="G43" s="595"/>
      <c r="H43" s="541"/>
      <c r="I43" s="541"/>
      <c r="J43" s="489"/>
      <c r="K43" s="489"/>
      <c r="L43" s="489"/>
      <c r="M43" s="550"/>
    </row>
    <row r="44" spans="2:13" x14ac:dyDescent="0.25">
      <c r="B44" s="887">
        <f t="shared" si="1"/>
        <v>14</v>
      </c>
      <c r="C44" s="500" t="s">
        <v>210</v>
      </c>
      <c r="D44" s="593" t="s">
        <v>99</v>
      </c>
      <c r="E44" s="489"/>
      <c r="F44" s="589">
        <f>SUM(F31:F42)</f>
        <v>0</v>
      </c>
      <c r="G44" s="422">
        <f>SUM(G31:G43)</f>
        <v>0</v>
      </c>
      <c r="H44" s="542"/>
      <c r="I44" s="542"/>
      <c r="J44" s="489"/>
      <c r="K44" s="489"/>
      <c r="L44" s="489"/>
      <c r="M44" s="550"/>
    </row>
    <row r="45" spans="2:13" hidden="1" x14ac:dyDescent="0.25">
      <c r="B45" s="887">
        <f t="shared" si="1"/>
        <v>15</v>
      </c>
      <c r="C45" s="205" t="s">
        <v>134</v>
      </c>
      <c r="D45" s="206" t="str">
        <f>+D44</f>
        <v>ANUAL</v>
      </c>
      <c r="E45" s="489"/>
      <c r="F45" s="590">
        <v>0</v>
      </c>
      <c r="G45" s="422">
        <f>IF(F45&gt;0,+F45/$F$48,0)</f>
        <v>0</v>
      </c>
      <c r="H45" s="542"/>
      <c r="I45" s="542"/>
      <c r="J45" s="489"/>
      <c r="K45" s="489"/>
      <c r="L45" s="489"/>
      <c r="M45" s="550"/>
    </row>
    <row r="46" spans="2:13" hidden="1" x14ac:dyDescent="0.25">
      <c r="B46" s="887">
        <f t="shared" si="1"/>
        <v>16</v>
      </c>
      <c r="C46" s="205" t="s">
        <v>140</v>
      </c>
      <c r="D46" s="206" t="str">
        <f>+D45</f>
        <v>ANUAL</v>
      </c>
      <c r="E46" s="489"/>
      <c r="F46" s="590">
        <v>0</v>
      </c>
      <c r="G46" s="422">
        <f>IF(F46&gt;0,+F46/$F$48,0)</f>
        <v>0</v>
      </c>
      <c r="H46" s="542"/>
      <c r="I46" s="542"/>
      <c r="J46" s="489"/>
      <c r="K46" s="489"/>
      <c r="L46" s="489"/>
      <c r="M46" s="550"/>
    </row>
    <row r="47" spans="2:13" hidden="1" x14ac:dyDescent="0.25">
      <c r="B47" s="887">
        <f t="shared" si="1"/>
        <v>17</v>
      </c>
      <c r="C47" s="205" t="s">
        <v>141</v>
      </c>
      <c r="D47" s="206" t="str">
        <f>+D46</f>
        <v>ANUAL</v>
      </c>
      <c r="E47" s="489"/>
      <c r="F47" s="590">
        <v>0</v>
      </c>
      <c r="G47" s="422">
        <f>IF(F47&gt;0,+F47/$F$48,0)</f>
        <v>0</v>
      </c>
      <c r="H47" s="542"/>
      <c r="I47" s="542"/>
      <c r="J47" s="489"/>
      <c r="K47" s="489"/>
      <c r="L47" s="489"/>
      <c r="M47" s="550"/>
    </row>
    <row r="48" spans="2:13" ht="15.75" thickBot="1" x14ac:dyDescent="0.3">
      <c r="B48" s="890">
        <f t="shared" si="1"/>
        <v>18</v>
      </c>
      <c r="C48" s="328" t="s">
        <v>211</v>
      </c>
      <c r="D48" s="329" t="str">
        <f>+D47</f>
        <v>ANUAL</v>
      </c>
      <c r="E48" s="489"/>
      <c r="F48" s="423">
        <f>SUM(F31:F43)</f>
        <v>0</v>
      </c>
      <c r="G48" s="424">
        <f>SUM(G31:G41)</f>
        <v>0</v>
      </c>
      <c r="H48" s="543"/>
      <c r="I48" s="543"/>
      <c r="J48" s="489"/>
      <c r="K48" s="489"/>
      <c r="L48" s="489"/>
      <c r="M48" s="550"/>
    </row>
    <row r="49" spans="2:21" ht="15.75" hidden="1" thickBot="1" x14ac:dyDescent="0.3">
      <c r="B49" s="891">
        <f t="shared" si="1"/>
        <v>19</v>
      </c>
      <c r="C49" s="425"/>
      <c r="D49" s="334"/>
      <c r="E49" s="489"/>
      <c r="F49" s="426" t="s">
        <v>135</v>
      </c>
      <c r="G49" s="550"/>
      <c r="H49" s="489"/>
      <c r="I49" s="489"/>
      <c r="J49" s="489"/>
      <c r="K49" s="489"/>
      <c r="L49" s="489"/>
      <c r="M49" s="550"/>
    </row>
    <row r="50" spans="2:21" ht="15" hidden="1" customHeight="1" x14ac:dyDescent="0.25">
      <c r="B50" s="892">
        <f t="shared" si="1"/>
        <v>20</v>
      </c>
      <c r="C50" s="521" t="s">
        <v>147</v>
      </c>
      <c r="D50" s="522" t="str">
        <f>+D48</f>
        <v>ANUAL</v>
      </c>
      <c r="E50" s="489"/>
      <c r="F50" s="591">
        <v>0</v>
      </c>
      <c r="G50" s="550"/>
      <c r="H50" s="489"/>
      <c r="I50" s="489"/>
      <c r="J50" s="489"/>
      <c r="K50" s="489"/>
      <c r="L50" s="489"/>
      <c r="M50" s="550"/>
    </row>
    <row r="51" spans="2:21" x14ac:dyDescent="0.25">
      <c r="B51" s="893">
        <f t="shared" si="1"/>
        <v>21</v>
      </c>
      <c r="C51" s="913" t="s">
        <v>86</v>
      </c>
      <c r="D51" s="920"/>
      <c r="E51" s="920"/>
      <c r="F51" s="577">
        <v>0</v>
      </c>
      <c r="G51" s="928">
        <f>IF(F51&gt;0,F51/SUM($F$51:$F$54),0)</f>
        <v>0</v>
      </c>
      <c r="H51" s="489"/>
      <c r="I51" s="489"/>
      <c r="J51" s="489"/>
      <c r="K51" s="489"/>
      <c r="L51" s="489"/>
      <c r="M51" s="550"/>
    </row>
    <row r="52" spans="2:21" x14ac:dyDescent="0.25">
      <c r="B52" s="894">
        <f t="shared" si="1"/>
        <v>22</v>
      </c>
      <c r="C52" s="507" t="s">
        <v>85</v>
      </c>
      <c r="D52" s="921"/>
      <c r="E52" s="921"/>
      <c r="F52" s="576">
        <v>0</v>
      </c>
      <c r="G52" s="929">
        <f t="shared" ref="G52:G54" si="2">IF(F52&gt;0,F52/SUM($F$51:$F$54),0)</f>
        <v>0</v>
      </c>
      <c r="H52" s="489"/>
      <c r="I52" s="489"/>
      <c r="J52" s="489"/>
      <c r="K52" s="489"/>
      <c r="L52" s="489"/>
      <c r="M52" s="550"/>
      <c r="N52" s="687">
        <f>IF(N54*0.3&gt;+G16*3800,G16*3800,N54*0.3)</f>
        <v>0</v>
      </c>
    </row>
    <row r="53" spans="2:21" x14ac:dyDescent="0.25">
      <c r="B53" s="894">
        <f t="shared" si="1"/>
        <v>23</v>
      </c>
      <c r="C53" s="507" t="s">
        <v>102</v>
      </c>
      <c r="D53" s="921"/>
      <c r="E53" s="921"/>
      <c r="F53" s="576">
        <v>0</v>
      </c>
      <c r="G53" s="929">
        <f t="shared" si="2"/>
        <v>0</v>
      </c>
      <c r="H53" s="489"/>
      <c r="I53" s="489"/>
      <c r="J53" s="489"/>
      <c r="K53" s="489"/>
      <c r="L53" s="489"/>
      <c r="M53" s="550"/>
      <c r="N53" s="687">
        <f>+G17*25</f>
        <v>18442925</v>
      </c>
      <c r="O53" s="219">
        <f>+N53/0.4</f>
        <v>46107312.5</v>
      </c>
    </row>
    <row r="54" spans="2:21" ht="15.75" thickBot="1" x14ac:dyDescent="0.3">
      <c r="B54" s="894">
        <f t="shared" si="1"/>
        <v>24</v>
      </c>
      <c r="C54" s="507" t="s">
        <v>84</v>
      </c>
      <c r="D54" s="921"/>
      <c r="E54" s="921"/>
      <c r="F54" s="576">
        <v>0</v>
      </c>
      <c r="G54" s="929">
        <f t="shared" si="2"/>
        <v>0</v>
      </c>
      <c r="H54" s="489"/>
      <c r="I54" s="489"/>
      <c r="J54" s="489"/>
      <c r="K54" s="489"/>
      <c r="L54" s="489"/>
      <c r="M54" s="550"/>
      <c r="N54" s="687">
        <f>IF(D44="MENSUAL",+F44*13,F44)</f>
        <v>0</v>
      </c>
    </row>
    <row r="55" spans="2:21" s="499" customFormat="1" ht="15" hidden="1" customHeight="1" x14ac:dyDescent="0.25">
      <c r="B55" s="861">
        <f t="shared" si="1"/>
        <v>25</v>
      </c>
      <c r="C55" s="861" t="e">
        <f>IF(N55=TRUE,"ATENCIÓN: EL CONTRIBUYENTE TIENE LA CATEGORÍA DE EMPLEADO Y USTED ELIGIÓ A UN INDEPENDIENTE SIN CATEGORÍA DE EMPLEADO","")</f>
        <v>#REF!</v>
      </c>
      <c r="D55" s="862"/>
      <c r="E55" s="862"/>
      <c r="F55" s="862"/>
      <c r="G55" s="863"/>
      <c r="H55" s="773"/>
      <c r="I55" s="773"/>
      <c r="J55" s="773"/>
      <c r="K55" s="773"/>
      <c r="L55" s="773"/>
      <c r="M55" s="774"/>
      <c r="N55" s="321" t="e">
        <f>AND(#REF!="SI",C10="PARA TRABAJADORES INDEPENDIENTES SIN CATEGORÍA DE EMPLEADOS")</f>
        <v>#REF!</v>
      </c>
      <c r="O55" s="321" t="e">
        <f>AND(#REF!="SI",F44&gt;F45,C10="PARA ASALARIADOS CON CATEGORÍA DE EMPLEADOS")</f>
        <v>#REF!</v>
      </c>
    </row>
    <row r="56" spans="2:21" s="499" customFormat="1" ht="15" hidden="1" customHeight="1" thickBot="1" x14ac:dyDescent="0.3">
      <c r="B56" s="858">
        <f t="shared" si="1"/>
        <v>26</v>
      </c>
      <c r="C56" s="858" t="e">
        <f>IF(O55=FALSE,"ATENCIÓN: ELIJA LA OPCIÓN ADECUADA SEGÚN EL MONTO DE LOS INGRESOS","")</f>
        <v>#REF!</v>
      </c>
      <c r="D56" s="859"/>
      <c r="E56" s="859"/>
      <c r="F56" s="859"/>
      <c r="G56" s="864"/>
      <c r="H56" s="771"/>
      <c r="I56" s="771"/>
      <c r="J56" s="771"/>
      <c r="K56" s="771"/>
      <c r="L56" s="771"/>
      <c r="M56" s="775"/>
      <c r="N56" s="321"/>
      <c r="O56" s="321"/>
    </row>
    <row r="57" spans="2:21" ht="58.5" customHeight="1" thickBot="1" x14ac:dyDescent="0.3">
      <c r="B57" s="560" t="s">
        <v>21</v>
      </c>
      <c r="C57" s="888"/>
      <c r="D57" s="561"/>
      <c r="E57" s="207" t="s">
        <v>3</v>
      </c>
      <c r="F57" s="207" t="s">
        <v>218</v>
      </c>
      <c r="G57" s="498" t="s">
        <v>101</v>
      </c>
      <c r="H57" s="489"/>
      <c r="I57" s="498"/>
      <c r="J57" s="1021" t="s">
        <v>156</v>
      </c>
      <c r="K57" s="1022"/>
      <c r="L57" s="1021" t="s">
        <v>115</v>
      </c>
      <c r="M57" s="1022"/>
      <c r="N57" s="208"/>
    </row>
    <row r="58" spans="2:21" ht="15.75" hidden="1" thickBot="1" x14ac:dyDescent="0.3">
      <c r="B58" s="895" t="e">
        <f t="shared" si="1"/>
        <v>#VALUE!</v>
      </c>
      <c r="C58" s="285"/>
      <c r="D58" s="489"/>
      <c r="E58" s="209"/>
      <c r="F58" s="209"/>
      <c r="G58" s="279"/>
      <c r="H58" s="489"/>
      <c r="I58" s="267"/>
      <c r="J58" s="210"/>
      <c r="K58" s="279"/>
      <c r="L58" s="210"/>
      <c r="M58" s="279"/>
    </row>
    <row r="59" spans="2:21" x14ac:dyDescent="0.25">
      <c r="B59" s="896">
        <f>+B54+1</f>
        <v>25</v>
      </c>
      <c r="C59" s="597" t="s">
        <v>221</v>
      </c>
      <c r="D59" s="598"/>
      <c r="E59" s="599">
        <f>IF(C10="PARA TRABAJADORES INDEPENDIENTES SIN CATEGORÍA DE EMPLEADOS",0,+F44+F45)</f>
        <v>0</v>
      </c>
      <c r="F59" s="600"/>
      <c r="G59" s="601">
        <f>+F48</f>
        <v>0</v>
      </c>
      <c r="H59" s="489"/>
      <c r="I59" s="275"/>
      <c r="J59" s="503"/>
      <c r="K59" s="331">
        <f>+G59</f>
        <v>0</v>
      </c>
      <c r="L59" s="212"/>
      <c r="M59" s="331">
        <f>IF(C10="PARA TRABAJADORES INDEPENDIENTES SIN CATEGORÍA DE EMPLEADOS",0,F44+F45)</f>
        <v>0</v>
      </c>
      <c r="N59" s="687">
        <f>+G59*F80</f>
        <v>0</v>
      </c>
      <c r="O59" s="687">
        <f>IF(N59&gt;N64,N64,N59)</f>
        <v>0</v>
      </c>
      <c r="R59" s="326"/>
      <c r="T59" s="726"/>
    </row>
    <row r="60" spans="2:21" x14ac:dyDescent="0.25">
      <c r="B60" s="904"/>
      <c r="C60" s="554" t="s">
        <v>298</v>
      </c>
      <c r="D60" s="489"/>
      <c r="E60" s="330"/>
      <c r="F60" s="209"/>
      <c r="G60" s="331"/>
      <c r="H60" s="489"/>
      <c r="I60" s="275"/>
      <c r="J60" s="503"/>
      <c r="K60" s="331"/>
      <c r="L60" s="503"/>
      <c r="M60" s="331"/>
      <c r="O60" s="687"/>
      <c r="R60" s="326"/>
    </row>
    <row r="61" spans="2:21" x14ac:dyDescent="0.25">
      <c r="B61" s="904">
        <f>+B59+1</f>
        <v>26</v>
      </c>
      <c r="C61" s="285" t="s">
        <v>297</v>
      </c>
      <c r="D61" s="489"/>
      <c r="E61" s="330">
        <f>IF(C10="PARA TRABAJADORES INDEPENDIENTES SIN CATEGORÍA DE EMPLEADOS",0,IF(F44&gt;0,IF(E63&lt;0,0,-IF($F$44&gt;$N$53,$N$53*$F$61,$F$44*$F$61)),0))</f>
        <v>0</v>
      </c>
      <c r="F61" s="559">
        <v>0.04</v>
      </c>
      <c r="G61" s="331">
        <f>-ROUND(IF(F48&gt;0,IF(G63&lt;0,0,IF(SUM(F31:F37)&gt;Datos!H35,Datos!H35*F61,SUM(F31:F37)*F61)),0),-2)</f>
        <v>0</v>
      </c>
      <c r="H61" s="489"/>
      <c r="I61" s="275"/>
      <c r="J61" s="275"/>
      <c r="K61" s="331">
        <f>IF(F44&gt;0,IF(K63&lt;0,0,-IF($F$44&gt;$N$53,$N$53*$F$61,$F$44*$F$61)),0)</f>
        <v>0</v>
      </c>
      <c r="L61" s="275"/>
      <c r="M61" s="331">
        <f>IF($C$10="PARA TRABAJADORES INDEPENDIENTES SIN CATEGORÍA DE EMPLEADOS",0,IF(F44&gt;0,IF(M63&lt;0,0,-IF($F$44&gt;$N$53,$N$53*$F$61,$F$44*$F$61)),0))</f>
        <v>0</v>
      </c>
      <c r="O61" s="217">
        <f>+G64+G80</f>
        <v>0</v>
      </c>
      <c r="R61" s="687"/>
      <c r="U61" s="741"/>
    </row>
    <row r="62" spans="2:21" x14ac:dyDescent="0.25">
      <c r="B62" s="904">
        <f t="shared" si="1"/>
        <v>27</v>
      </c>
      <c r="C62" s="285" t="s">
        <v>164</v>
      </c>
      <c r="D62" s="489"/>
      <c r="E62" s="330">
        <f>IF(C10="PARA TRABAJADORES INDEPENDIENTES SIN CATEGORÍA DE EMPLEADOS",0,IF($C$10&lt;&gt;"PARA ASALARIADOS CON CATEGORÍA DE EMPLEADOS",IF(E63&lt;0,0,-IF($F$45*0.4&gt;$N$53,$N$53*$F$62,$F$45*0.4*$F$62)),IF(E63&lt;0,0,-IF($F$45*0.4&gt;$N$53,$N$53*$F$62,$F$45*0.4*$F$62))))</f>
        <v>0</v>
      </c>
      <c r="F62" s="559">
        <v>0.125</v>
      </c>
      <c r="G62" s="331">
        <f>-ROUND(IF($C$10&lt;&gt;"PARA ASALARIADOS CON CATEGORÍA DE EMPLEADOS",IF(G63&lt;0,0,-IF($F$45*0.4&gt;Datos!H35,Datos!H35*$F$62,$F$45*0.4*$F$62)),IF(G63&lt;0,0,-IF($F$45*0.4&gt;Datos!H35,Datos!H35*$F$62,$F$45*0.4*$F$62))),-2)</f>
        <v>0</v>
      </c>
      <c r="H62" s="489"/>
      <c r="I62" s="275"/>
      <c r="J62" s="275"/>
      <c r="K62" s="331">
        <f>IF($C$10&lt;&gt;"PARA ASALARIADOS CON CATEGORÍA DE EMPLEADOS",IF(K63&lt;0,0,-IF($F$45*0.4&gt;$N$53,$N$53*$F$62,$F$45*0.4*$F$62)),IF(K63&lt;0,0,-IF($F$45*0.4&gt;$N$53,$N$53*$F$62,$F$45*0.4*$F$62)))</f>
        <v>0</v>
      </c>
      <c r="L62" s="275"/>
      <c r="M62" s="331">
        <f>IF(C10="PARA TRABAJADORES INDEPENDIENTES SIN CATEGORÍA DE EMPLEADOS",0,IF($C$10&lt;&gt;"PARA ASALARIADOS CON CATEGORÍA DE EMPLEADOS",IF(M63&lt;0,0,-IF($F$45*0.4&gt;$N$53,$N$53*$F$62,$F$45*0.4*$F$62)),IF(M63&lt;0,0,-IF($F$45*0.4&gt;$N$53,$N$53*$F$62,$F$45*0.4*$F$62))))</f>
        <v>0</v>
      </c>
      <c r="O62" s="217">
        <f>+G65+G75</f>
        <v>0</v>
      </c>
      <c r="R62" s="687"/>
      <c r="U62" s="741"/>
    </row>
    <row r="63" spans="2:21" ht="30.95" customHeight="1" x14ac:dyDescent="0.25">
      <c r="B63" s="999">
        <f t="shared" si="1"/>
        <v>28</v>
      </c>
      <c r="C63" s="1019" t="s">
        <v>394</v>
      </c>
      <c r="D63" s="1020"/>
      <c r="E63" s="214">
        <f>IF(C10="PARA TRABAJADORES INDEPENDIENTES SIN CATEGORÍA DE EMPLEADOS",0,G63)</f>
        <v>0</v>
      </c>
      <c r="F63" s="559"/>
      <c r="G63" s="1000">
        <v>0</v>
      </c>
      <c r="H63" s="489"/>
      <c r="I63" s="592"/>
      <c r="J63" s="524"/>
      <c r="K63" s="280">
        <f>+E63</f>
        <v>0</v>
      </c>
      <c r="L63" s="215"/>
      <c r="M63" s="280">
        <f>IF(C10="PARA TRABAJADORES INDEPENDIENTES SIN CATEGORÍA DE EMPLEADOS",0,G63)</f>
        <v>0</v>
      </c>
      <c r="O63" s="217"/>
      <c r="U63" s="741"/>
    </row>
    <row r="64" spans="2:21" x14ac:dyDescent="0.25">
      <c r="B64" s="904">
        <f t="shared" si="1"/>
        <v>29</v>
      </c>
      <c r="C64" s="285" t="s">
        <v>160</v>
      </c>
      <c r="D64" s="489"/>
      <c r="E64" s="330">
        <f>IF(C10="PARA TRABAJADORES INDEPENDIENTES SIN CATEGORÍA DE EMPLEADOS",0,IF(F44&gt;0,IF(E66&lt;0,0,-IF($F$44&gt;$N$53,$N$53*$F$64,$F$44*$F$64)),0))</f>
        <v>0</v>
      </c>
      <c r="F64" s="559">
        <f>IF(APPensiones!J33=0,APPensiones!J34,APPensiones!J33)</f>
        <v>0.04</v>
      </c>
      <c r="G64" s="331">
        <f>-ROUND(IF(F48&gt;0,IF(G66&lt;0,0,IF(SUM(F31:F37)&gt;Datos!H35,Datos!H35*F64,SUM(F31:F37)*$F$64)),0),-2)</f>
        <v>0</v>
      </c>
      <c r="H64" s="489"/>
      <c r="I64" s="275"/>
      <c r="J64" s="275"/>
      <c r="K64" s="331">
        <f>IF(F44&gt;0,IF(K66&lt;0,0,-IF($F$44&gt;$N$53,$N$53*$F$64,$F$44*$F$64)),0)</f>
        <v>0</v>
      </c>
      <c r="L64" s="275"/>
      <c r="M64" s="331">
        <f>IF($C$10="PARA TRABAJADORES INDEPENDIENTES SIN CATEGORÍA DE EMPLEADOS",0,IF(F44&gt;0,IF(M66&lt;0,0,-IF($F$44&gt;$N$53,$N$53*$F$64,$F$44*$F$64)),0))</f>
        <v>0</v>
      </c>
      <c r="N64" s="687">
        <f>+G16*3800</f>
        <v>121064200</v>
      </c>
      <c r="O64" s="687">
        <f>IF((F51+F52)&gt;O59,O59,F51+F52)</f>
        <v>0</v>
      </c>
      <c r="R64" s="687"/>
      <c r="U64" s="741"/>
    </row>
    <row r="65" spans="2:21" hidden="1" x14ac:dyDescent="0.25">
      <c r="B65" s="904">
        <f t="shared" si="1"/>
        <v>30</v>
      </c>
      <c r="C65" s="285" t="s">
        <v>161</v>
      </c>
      <c r="D65" s="489"/>
      <c r="E65" s="330">
        <f>IF(C10="PARA TRABAJADORES INDEPENDIENTES SIN CATEGORÍA DE EMPLEADOS",0,IF($C$10&lt;&gt;"PARA ASALARIADOS CON CATEGORÍA DE EMPLEADOS",IF(E66&lt;0,0,-IF($F$45*0.4&gt;$N$53,$N$53*$F$65,$F$45*0.4*$F$65)),IF(E66&lt;0,0,-IF($F$45*0.4&gt;$N$53,$N$53*$F$65,$F$45*0.4*$F$65))))</f>
        <v>0</v>
      </c>
      <c r="F65" s="559">
        <f>IF(C14="PARA ASALARIADOS CON CATEGORÍA DE EMPLEADOS",IF(APPensiones!J48&gt;0,APPensiones!J48,APPensiones!J49),IF(APPensiones!J48&gt;0,APPensiones!J48,APPensiones!J49)+12%)</f>
        <v>0.16</v>
      </c>
      <c r="G65" s="331">
        <f>IF($C$10&lt;&gt;"PARA ASALARIADOS CON CATEGORÍA DE EMPLEADOS",IF(G66&lt;0,0,-IF($F$45*0.4&gt;$N$53,$N$53*$F$65,$F$45*0.4*$F$65)),IF(G66&lt;0,0,-IF($F$45*0.4&gt;$N$53,$N$53*$F$65,$F$45*0.4*$F$65)))</f>
        <v>0</v>
      </c>
      <c r="H65" s="489"/>
      <c r="I65" s="275"/>
      <c r="J65" s="275"/>
      <c r="K65" s="331">
        <f>IF($C$10&lt;&gt;"PARA ASALARIADOS CON CATEGORÍA DE EMPLEADOS",IF(K66&lt;0,0,-IF($F$45*0.4&gt;$N$53,$N$53*$F$65,$F$45*0.4*$F$65)),IF(K66&lt;0,0,-IF($F$45*0.4&gt;$N$53,$N$53*$F$65,$F$45*0.4*$F$65)))</f>
        <v>0</v>
      </c>
      <c r="L65" s="275"/>
      <c r="M65" s="331">
        <f>IF(C10="PARA TRABAJADORES INDEPENDIENTES SIN CATEGORÍA DE EMPLEADOS",0,IF($C$10&lt;&gt;"PARA ASALARIADOS CON CATEGORÍA DE EMPLEADOS",IF(M66&lt;0,0,-IF($F$45*0.4&gt;$N$53,$N$53*$F$65,$F$45*0.4*$F$65)),IF(M66&lt;0,0,-IF($F$45*0.4&gt;$N$53,$N$53*$F$65,$F$45*0.4*$F$65))))</f>
        <v>0</v>
      </c>
      <c r="N65" s="687">
        <f>+G17*3800</f>
        <v>2803324600</v>
      </c>
      <c r="O65" s="687">
        <f>IF((F52+E55)&gt;O64,O64,F52+E55)</f>
        <v>0</v>
      </c>
      <c r="R65" s="687"/>
    </row>
    <row r="66" spans="2:21" ht="30.95" customHeight="1" thickBot="1" x14ac:dyDescent="0.3">
      <c r="B66" s="999">
        <f>+B64+1</f>
        <v>30</v>
      </c>
      <c r="C66" s="1019" t="s">
        <v>395</v>
      </c>
      <c r="D66" s="1020"/>
      <c r="E66" s="214">
        <f>IF(C10="PARA TRABAJADORES INDEPENDIENTES SIN CATEGORÍA DE EMPLEADOS",0,G66)</f>
        <v>0</v>
      </c>
      <c r="F66" s="559"/>
      <c r="G66" s="1000">
        <v>0</v>
      </c>
      <c r="H66" s="489"/>
      <c r="I66" s="592"/>
      <c r="J66" s="524"/>
      <c r="K66" s="280">
        <f>+E66</f>
        <v>0</v>
      </c>
      <c r="L66" s="215"/>
      <c r="M66" s="280">
        <f>IF(C10="PARA TRABAJADORES INDEPENDIENTES SIN CATEGORÍA DE EMPLEADOS",0,G66)</f>
        <v>0</v>
      </c>
      <c r="O66" s="687"/>
      <c r="R66" s="687"/>
    </row>
    <row r="67" spans="2:21" ht="15.75" hidden="1" thickBot="1" x14ac:dyDescent="0.3">
      <c r="B67" s="905">
        <f t="shared" si="1"/>
        <v>31</v>
      </c>
      <c r="C67" s="868" t="s">
        <v>121</v>
      </c>
      <c r="D67" s="869"/>
      <c r="E67" s="870">
        <f>IF(C10="PARA TRABAJADORES INDEPENDIENTES SIN CATEGORÍA DE EMPLEADOS",0,IF($C$10="PARA ASALARIADOS CON CATEGORÍA DE EMPLEADOS",0,IF(E68&lt;0,0,-IF($F$45*0.4&gt;$N$53,$N$53*$F$67,$F$45*0.4*$F$67))))</f>
        <v>0</v>
      </c>
      <c r="F67" s="871">
        <v>5.2199999999999998E-3</v>
      </c>
      <c r="G67" s="872">
        <f>IF($C$10="PARA ASALARIADOS CON CATEGORÍA DE EMPLEADOS",0,IF(G68&lt;0,0,-IF($F$45*0.4&gt;$N$53,$N$53*$F$67,$F$45*0.4*$F$67)))</f>
        <v>0</v>
      </c>
      <c r="H67" s="489"/>
      <c r="I67" s="275"/>
      <c r="J67" s="275"/>
      <c r="K67" s="331">
        <f>IF($C$10="PARA ASALARIADOS CON CATEGORÍA DE EMPLEADOS",0,IF(K68&lt;0,0,-IF($F$45*0.4&gt;$N$53,$N$53*$F$67,$F$45*0.4*$F$67)))</f>
        <v>0</v>
      </c>
      <c r="L67" s="275"/>
      <c r="M67" s="331">
        <f>IF(C10="PARA TRABAJADORES INDEPENDIENTES SIN CATEGORÍA DE EMPLEADOS",0,IF($C$10="PARA ASALARIADOS CON CATEGORÍA DE EMPLEADOS",0,IF(M68&lt;0,0,-IF($F$45*0.4&gt;$N$53,$N$53*$F$67,$F$45*0.4*$F$67))))</f>
        <v>0</v>
      </c>
      <c r="O67" s="217"/>
    </row>
    <row r="68" spans="2:21" ht="15.75" hidden="1" thickBot="1" x14ac:dyDescent="0.3">
      <c r="B68" s="905">
        <f t="shared" si="1"/>
        <v>32</v>
      </c>
      <c r="C68" s="868" t="s">
        <v>355</v>
      </c>
      <c r="D68" s="869"/>
      <c r="E68" s="870">
        <f>IF(C10="PARA TRABAJADORES INDEPENDIENTES SIN CATEGORÍA DE EMPLEADOS",0,G68)</f>
        <v>0</v>
      </c>
      <c r="F68" s="873"/>
      <c r="G68" s="874">
        <v>0</v>
      </c>
      <c r="H68" s="489"/>
      <c r="I68" s="592"/>
      <c r="J68" s="524"/>
      <c r="K68" s="280">
        <f>+E68</f>
        <v>0</v>
      </c>
      <c r="L68" s="215"/>
      <c r="M68" s="280">
        <f>IF(C10="PARA TRABAJADORES INDEPENDIENTES SIN CATEGORÍA DE EMPLEADOS",0,G68)</f>
        <v>0</v>
      </c>
      <c r="O68" s="217"/>
    </row>
    <row r="69" spans="2:21" ht="15.75" thickBot="1" x14ac:dyDescent="0.3">
      <c r="B69" s="898">
        <f>+B66+1</f>
        <v>31</v>
      </c>
      <c r="C69" s="760" t="s">
        <v>356</v>
      </c>
      <c r="D69" s="756"/>
      <c r="E69" s="757"/>
      <c r="F69" s="762"/>
      <c r="G69" s="759">
        <f>SUM(G59:G68)</f>
        <v>0</v>
      </c>
      <c r="H69" s="489"/>
      <c r="I69" s="544"/>
      <c r="J69" s="525"/>
      <c r="K69" s="506"/>
      <c r="L69" s="323"/>
      <c r="M69" s="502"/>
      <c r="O69" s="217"/>
      <c r="R69" s="687"/>
      <c r="S69" s="687"/>
    </row>
    <row r="70" spans="2:21" ht="15.75" hidden="1" thickBot="1" x14ac:dyDescent="0.3">
      <c r="B70" s="899">
        <f t="shared" si="1"/>
        <v>32</v>
      </c>
      <c r="C70" s="751" t="s">
        <v>223</v>
      </c>
      <c r="D70" s="752"/>
      <c r="E70" s="753"/>
      <c r="F70" s="754"/>
      <c r="G70" s="755"/>
      <c r="H70" s="489"/>
      <c r="I70" s="545"/>
      <c r="J70" s="275"/>
      <c r="K70" s="331"/>
      <c r="L70" s="323"/>
      <c r="M70" s="502"/>
      <c r="O70" s="217"/>
      <c r="R70" s="687"/>
      <c r="S70" s="687"/>
    </row>
    <row r="71" spans="2:21" s="610" customFormat="1" hidden="1" x14ac:dyDescent="0.25">
      <c r="B71" s="900">
        <f t="shared" si="1"/>
        <v>33</v>
      </c>
      <c r="C71" s="602"/>
      <c r="D71" s="603"/>
      <c r="E71" s="604"/>
      <c r="F71" s="605"/>
      <c r="G71" s="606"/>
      <c r="H71" s="607"/>
      <c r="I71" s="545"/>
      <c r="J71" s="275"/>
      <c r="K71" s="331"/>
      <c r="L71" s="323"/>
      <c r="M71" s="608"/>
      <c r="N71" s="322"/>
      <c r="O71" s="609"/>
      <c r="R71" s="322"/>
      <c r="S71" s="322"/>
    </row>
    <row r="72" spans="2:21" x14ac:dyDescent="0.25">
      <c r="B72" s="904"/>
      <c r="C72" s="554" t="s">
        <v>286</v>
      </c>
      <c r="D72" s="489"/>
      <c r="E72" s="330"/>
      <c r="F72" s="213"/>
      <c r="G72" s="331"/>
      <c r="H72" s="489"/>
      <c r="I72" s="275"/>
      <c r="J72" s="275"/>
      <c r="K72" s="331"/>
      <c r="L72" s="323"/>
      <c r="M72" s="502"/>
      <c r="O72" s="217"/>
      <c r="R72" s="687"/>
      <c r="S72" s="687"/>
    </row>
    <row r="73" spans="2:21" x14ac:dyDescent="0.25">
      <c r="B73" s="904">
        <f>+B69+1</f>
        <v>32</v>
      </c>
      <c r="C73" s="555" t="s">
        <v>207</v>
      </c>
      <c r="D73" s="489"/>
      <c r="E73" s="330"/>
      <c r="F73" s="213"/>
      <c r="G73" s="578">
        <v>0</v>
      </c>
      <c r="H73" s="489"/>
      <c r="I73" s="592"/>
      <c r="J73" s="275"/>
      <c r="K73" s="331"/>
      <c r="L73" s="323"/>
      <c r="M73" s="502"/>
      <c r="O73" s="217"/>
      <c r="R73" s="687"/>
      <c r="S73" s="687"/>
    </row>
    <row r="74" spans="2:21" ht="15.75" thickBot="1" x14ac:dyDescent="0.3">
      <c r="B74" s="904"/>
      <c r="C74" s="554" t="s">
        <v>287</v>
      </c>
      <c r="D74" s="489"/>
      <c r="E74" s="330"/>
      <c r="F74" s="559"/>
      <c r="G74" s="529"/>
      <c r="H74" s="489"/>
      <c r="I74" s="545"/>
      <c r="J74" s="275"/>
      <c r="K74" s="331"/>
      <c r="L74" s="323"/>
      <c r="M74" s="502"/>
      <c r="O74" s="217"/>
      <c r="R74" s="687"/>
      <c r="S74" s="687"/>
    </row>
    <row r="75" spans="2:21" ht="15.75" thickTop="1" x14ac:dyDescent="0.25">
      <c r="B75" s="904">
        <f>+B73+1</f>
        <v>33</v>
      </c>
      <c r="C75" s="285" t="s">
        <v>8</v>
      </c>
      <c r="D75" s="489"/>
      <c r="E75" s="214">
        <v>0</v>
      </c>
      <c r="F75" s="218">
        <v>16</v>
      </c>
      <c r="G75" s="280">
        <f>-ROUND(IF($F$53&gt;$F$75*$G$16,$F$75*$G$16,$F$53),-3)</f>
        <v>0</v>
      </c>
      <c r="H75" s="489"/>
      <c r="I75" s="524"/>
      <c r="J75" s="524"/>
      <c r="K75" s="280">
        <v>0</v>
      </c>
      <c r="L75" s="215"/>
      <c r="M75" s="280">
        <f>IF(C10="PARA TRABAJADORES INDEPENDIENTES SIN CATEGORÍA DE EMPLEADOS",0,-IF($F$53&gt;$F$75*$G$16,$F$75*$G$16,$F$53))</f>
        <v>0</v>
      </c>
      <c r="P75" s="154" t="e">
        <f>IF(O59&lt;IF((+M59-M82)&gt;0,0,-(+M59-M82)),IF(-(+M59-M82)&gt;0,0,-(+M59-M82)),-O59-M64)</f>
        <v>#REF!</v>
      </c>
      <c r="U75" s="747" t="s">
        <v>304</v>
      </c>
    </row>
    <row r="76" spans="2:21" x14ac:dyDescent="0.25">
      <c r="B76" s="904">
        <f t="shared" si="1"/>
        <v>34</v>
      </c>
      <c r="C76" s="285" t="s">
        <v>114</v>
      </c>
      <c r="D76" s="489"/>
      <c r="E76" s="214">
        <v>0</v>
      </c>
      <c r="F76" s="218">
        <v>100</v>
      </c>
      <c r="G76" s="280">
        <f>-ROUND(IF($F$54&gt;$G$16*$F$76,$G$16*$F$76,$F$54),-3)</f>
        <v>0</v>
      </c>
      <c r="H76" s="489"/>
      <c r="I76" s="524"/>
      <c r="J76" s="524"/>
      <c r="K76" s="280">
        <v>0</v>
      </c>
      <c r="L76" s="215"/>
      <c r="M76" s="327" t="e">
        <f>IF(#REF!&gt;-G16*F76,#REF!,IF(#REF!&lt;0,IF(C10="PARA TRABAJADORES INDEPENDIENTES SIN CATEGORÍA DE EMPLEADOS",0,-IF($F$54&gt;$G$16*$F$76,$G$16*$F$76,$F$54)),#REF!))</f>
        <v>#REF!</v>
      </c>
      <c r="U76" s="748" t="s">
        <v>305</v>
      </c>
    </row>
    <row r="77" spans="2:21" ht="19.5" thickBot="1" x14ac:dyDescent="0.35">
      <c r="B77" s="904">
        <f t="shared" si="1"/>
        <v>35</v>
      </c>
      <c r="C77" s="285" t="s">
        <v>231</v>
      </c>
      <c r="D77" s="489"/>
      <c r="E77" s="504">
        <v>0</v>
      </c>
      <c r="F77" s="827" t="s">
        <v>83</v>
      </c>
      <c r="G77" s="826">
        <f>ROUND(-IF($F$77="SI",IF(G59*0.1&lt;32*$G$16,G59*0.1,32*$G$16),0),-3)</f>
        <v>0</v>
      </c>
      <c r="H77" s="689"/>
      <c r="I77" s="546"/>
      <c r="J77" s="526"/>
      <c r="K77" s="505">
        <v>0</v>
      </c>
      <c r="L77" s="215"/>
      <c r="M77" s="280">
        <f>-IF($F$77="SI",IF(M59*0.1&lt;32*$G$16,M59*0.1,32*$G$16),0)</f>
        <v>0</v>
      </c>
      <c r="O77" s="687"/>
      <c r="R77" s="687"/>
      <c r="U77" s="749">
        <f>ROUND(IF(U80&lt;F52+F51,-(F52+F51)+U80,G80+U80),-3)</f>
        <v>0</v>
      </c>
    </row>
    <row r="78" spans="2:21" ht="15.75" customHeight="1" thickBot="1" x14ac:dyDescent="0.3">
      <c r="B78" s="904"/>
      <c r="C78" s="554" t="s">
        <v>295</v>
      </c>
      <c r="D78" s="489"/>
      <c r="E78" s="330"/>
      <c r="F78" s="213"/>
      <c r="G78" s="331"/>
      <c r="H78" s="489"/>
      <c r="I78" s="275"/>
      <c r="J78" s="275"/>
      <c r="K78" s="331"/>
      <c r="L78" s="323"/>
      <c r="M78" s="502"/>
      <c r="O78" s="217"/>
      <c r="R78" s="687"/>
      <c r="S78" s="687"/>
      <c r="U78" s="748" t="s">
        <v>293</v>
      </c>
    </row>
    <row r="79" spans="2:21" ht="15.75" hidden="1" customHeight="1" x14ac:dyDescent="0.25">
      <c r="B79" s="906">
        <f t="shared" si="1"/>
        <v>1</v>
      </c>
      <c r="C79" s="489"/>
      <c r="D79" s="489"/>
      <c r="E79" s="489"/>
      <c r="F79" s="489"/>
      <c r="G79" s="550"/>
      <c r="H79" s="489"/>
      <c r="I79" s="524"/>
      <c r="J79" s="524"/>
      <c r="L79" s="215"/>
      <c r="M79" s="280">
        <f>IF(C10="PARA TRABAJADORES INDEPENDIENTES SIN CATEGORÍA DE EMPLEADOS",0,-IF(M88*25%/75%&gt;G16*F83,G16*F83,M88*25%/75%))</f>
        <v>0</v>
      </c>
      <c r="Q79" s="566"/>
    </row>
    <row r="80" spans="2:21" ht="19.5" thickBot="1" x14ac:dyDescent="0.35">
      <c r="B80" s="904">
        <f>+B77+1</f>
        <v>36</v>
      </c>
      <c r="C80" s="285" t="s">
        <v>354</v>
      </c>
      <c r="D80" s="750" t="str">
        <f>IF(U77=0,"O.K.","NO")</f>
        <v>O.K.</v>
      </c>
      <c r="E80" s="319">
        <v>0</v>
      </c>
      <c r="F80" s="559">
        <v>0.3</v>
      </c>
      <c r="G80" s="331">
        <f>ROUND(IF(-IF((F51+F52)&gt;G59*0.3,G59*0.3,F51+F52)&lt;-Datos!G27,-Datos!G27,-IF((F51+F52)&gt;G59*0.3,G59*0.3,F51+F52)),-3)</f>
        <v>0</v>
      </c>
      <c r="H80" s="728"/>
      <c r="I80" s="275"/>
      <c r="J80" s="275"/>
      <c r="K80" s="331">
        <v>0</v>
      </c>
      <c r="L80" s="323"/>
      <c r="M80" s="327" t="e">
        <f>IF(IF(IF(#REF!&gt;0,0,+#REF!)&lt;-N80,-N80-M64-M65-M66,IF(#REF!&gt;0,0,+#REF!))&lt;-M59*0.3,-M59*0.3-M64-M65-M66,IF(IF(#REF!&gt;0,0,+#REF!)&lt;-N80,-N80-M64-M65-M66,IF(#REF!&gt;0,0,+#REF!)))</f>
        <v>#REF!</v>
      </c>
      <c r="N80" s="322"/>
      <c r="O80" s="687" t="e">
        <f>+M64+M80</f>
        <v>#REF!</v>
      </c>
      <c r="P80" s="154" t="e">
        <f>IF(O59&lt;IF((+M59+M64+M61+M75+M76+M77-M82)&gt;0,0,-(+M59+M64+M61+M75+M76+M77-M82)),IF(-(+M59+M64+M61+M75+M76+M77-M82)&gt;0,0,-(+M59+M64+M61+M75+M76+M77-M82)),-O59-M64)</f>
        <v>#REF!</v>
      </c>
      <c r="R80" s="687"/>
      <c r="S80" s="687"/>
      <c r="U80" s="749">
        <f>ROUND(IF(G59*0.3&gt;Datos!G27,Datos!G27,IF((F51+F52)&gt;G59*0.3,G59*0.3,G59*0.3)),-3)</f>
        <v>0</v>
      </c>
    </row>
    <row r="81" spans="2:22" ht="15.75" thickBot="1" x14ac:dyDescent="0.3">
      <c r="B81" s="904">
        <f t="shared" si="1"/>
        <v>37</v>
      </c>
      <c r="C81" s="285" t="s">
        <v>288</v>
      </c>
      <c r="D81" s="489"/>
      <c r="E81" s="330"/>
      <c r="F81" s="559"/>
      <c r="G81" s="579">
        <v>0</v>
      </c>
      <c r="H81" s="728"/>
      <c r="I81" s="275"/>
      <c r="J81" s="275"/>
      <c r="K81" s="331"/>
      <c r="L81" s="323"/>
      <c r="M81" s="502"/>
      <c r="O81" s="217"/>
      <c r="R81" s="687"/>
      <c r="S81" s="687"/>
      <c r="U81" s="741"/>
      <c r="V81" s="742"/>
    </row>
    <row r="82" spans="2:22" ht="15.75" thickBot="1" x14ac:dyDescent="0.3">
      <c r="B82" s="901">
        <f t="shared" si="1"/>
        <v>38</v>
      </c>
      <c r="C82" s="760" t="s">
        <v>357</v>
      </c>
      <c r="D82" s="756"/>
      <c r="E82" s="757">
        <f>SUM(E59:E81)</f>
        <v>0</v>
      </c>
      <c r="F82" s="758"/>
      <c r="G82" s="759">
        <f>SUM(G69:G81)</f>
        <v>0</v>
      </c>
      <c r="H82" s="489"/>
      <c r="I82" s="547"/>
      <c r="J82" s="524"/>
      <c r="K82" s="216">
        <f>IF(SUM(K59:K81)&lt;0,0,SUM(K59:K81))</f>
        <v>0</v>
      </c>
      <c r="L82" s="266"/>
      <c r="M82" s="281" t="e">
        <f>IF(+M88-M79=0,SUM(M59:M81),+M88-M79)</f>
        <v>#REF!</v>
      </c>
      <c r="N82" s="687" t="e">
        <f>SUM(M59:M81)</f>
        <v>#REF!</v>
      </c>
      <c r="O82" s="687" t="e">
        <f>ROUND(+M82-N82,0)</f>
        <v>#REF!</v>
      </c>
      <c r="U82" s="741"/>
    </row>
    <row r="83" spans="2:22" ht="15.75" thickBot="1" x14ac:dyDescent="0.3">
      <c r="B83" s="907">
        <f t="shared" si="1"/>
        <v>39</v>
      </c>
      <c r="C83" s="494" t="s">
        <v>347</v>
      </c>
      <c r="D83" s="730"/>
      <c r="E83" s="214">
        <v>0</v>
      </c>
      <c r="F83" s="218">
        <v>240</v>
      </c>
      <c r="G83" s="280">
        <f>ROUND(-IF(G82*25%&gt;G16*F83,G16*F83,G82*25%),-3)</f>
        <v>0</v>
      </c>
      <c r="H83" s="489"/>
      <c r="I83" s="547"/>
      <c r="J83" s="524"/>
      <c r="K83" s="216"/>
      <c r="L83" s="215"/>
      <c r="M83" s="745"/>
      <c r="O83" s="687"/>
      <c r="U83" s="741"/>
    </row>
    <row r="84" spans="2:22" ht="15.75" thickBot="1" x14ac:dyDescent="0.3">
      <c r="B84" s="901">
        <f t="shared" si="1"/>
        <v>40</v>
      </c>
      <c r="C84" s="760" t="s">
        <v>358</v>
      </c>
      <c r="D84" s="756"/>
      <c r="E84" s="757">
        <f>SUM(E61:E83)</f>
        <v>0</v>
      </c>
      <c r="F84" s="758"/>
      <c r="G84" s="759">
        <f>SUM(G82:G83)</f>
        <v>0</v>
      </c>
      <c r="H84" s="489"/>
      <c r="I84" s="547"/>
      <c r="J84" s="524"/>
      <c r="K84" s="216"/>
      <c r="L84" s="215"/>
      <c r="M84" s="745"/>
      <c r="O84" s="687"/>
      <c r="U84" s="742"/>
    </row>
    <row r="85" spans="2:22" x14ac:dyDescent="0.25">
      <c r="B85" s="907">
        <f t="shared" si="1"/>
        <v>41</v>
      </c>
      <c r="C85" s="494" t="s">
        <v>290</v>
      </c>
      <c r="D85" s="489"/>
      <c r="E85" s="214"/>
      <c r="F85" s="731">
        <f>-(G80+G81+G75+G76+G77+G83)</f>
        <v>0</v>
      </c>
      <c r="G85" s="280"/>
      <c r="H85" s="489"/>
      <c r="I85" s="524"/>
      <c r="J85" s="524"/>
      <c r="K85" s="216">
        <f>IF(C10="PARA TRABAJADORES INDEPENDIENTES SIN CATEGORÍA DE EMPLEADOS",0,IF(C10="PARA TRABAJADORES INDEPENDIENTES SIN CATEGORÍA DE EMPLEADOS",0,-IF(K82*25%&gt;G16*F83,G16*F83,K82*25%)))</f>
        <v>0</v>
      </c>
      <c r="L85" s="215"/>
      <c r="M85" s="280"/>
      <c r="Q85" s="729"/>
      <c r="U85" s="742"/>
    </row>
    <row r="86" spans="2:22" x14ac:dyDescent="0.25">
      <c r="B86" s="907">
        <f t="shared" si="1"/>
        <v>42</v>
      </c>
      <c r="C86" s="494" t="s">
        <v>359</v>
      </c>
      <c r="D86" s="489"/>
      <c r="E86" s="214"/>
      <c r="F86" s="731">
        <f>G69*0.4</f>
        <v>0</v>
      </c>
      <c r="G86" s="280"/>
      <c r="H86" s="489"/>
      <c r="I86" s="524"/>
      <c r="J86" s="524"/>
      <c r="K86" s="524"/>
      <c r="L86" s="215"/>
      <c r="M86" s="280"/>
      <c r="Q86" s="729"/>
    </row>
    <row r="87" spans="2:22" ht="15.75" thickBot="1" x14ac:dyDescent="0.3">
      <c r="B87" s="907">
        <f t="shared" si="1"/>
        <v>43</v>
      </c>
      <c r="C87" s="494" t="s">
        <v>367</v>
      </c>
      <c r="D87" s="489"/>
      <c r="E87" s="214"/>
      <c r="F87" s="218"/>
      <c r="G87" s="280">
        <f>IF(F85&gt;F86,+F85-F86,0)</f>
        <v>0</v>
      </c>
      <c r="H87" s="489"/>
      <c r="I87" s="524"/>
      <c r="J87" s="524"/>
      <c r="K87" s="524"/>
      <c r="L87" s="215"/>
      <c r="M87" s="280"/>
      <c r="Q87" s="729"/>
    </row>
    <row r="88" spans="2:22" ht="15.75" thickBot="1" x14ac:dyDescent="0.3">
      <c r="B88" s="901">
        <f t="shared" si="1"/>
        <v>44</v>
      </c>
      <c r="C88" s="760" t="s">
        <v>360</v>
      </c>
      <c r="D88" s="761"/>
      <c r="E88" s="757">
        <f>+E82+E83</f>
        <v>0</v>
      </c>
      <c r="F88" s="758"/>
      <c r="G88" s="759">
        <f>+G84+G87</f>
        <v>0</v>
      </c>
      <c r="H88" s="489"/>
      <c r="I88" s="545"/>
      <c r="J88" s="275"/>
      <c r="K88" s="331">
        <f>+K82+K85</f>
        <v>0</v>
      </c>
      <c r="L88" s="323"/>
      <c r="M88" s="502">
        <f>+M91*G16</f>
        <v>0</v>
      </c>
      <c r="O88" s="687" t="s">
        <v>144</v>
      </c>
      <c r="P88" s="154" t="s">
        <v>145</v>
      </c>
      <c r="R88" s="687"/>
      <c r="S88" s="687"/>
      <c r="U88" s="741"/>
    </row>
    <row r="89" spans="2:22" hidden="1" x14ac:dyDescent="0.25">
      <c r="B89" s="904">
        <f t="shared" si="1"/>
        <v>45</v>
      </c>
      <c r="C89" s="602"/>
      <c r="D89" s="603"/>
      <c r="E89" s="604"/>
      <c r="F89" s="605"/>
      <c r="G89" s="606"/>
      <c r="H89" s="489"/>
      <c r="I89" s="545"/>
      <c r="J89" s="275"/>
      <c r="K89" s="275"/>
      <c r="L89" s="323"/>
      <c r="M89" s="502"/>
      <c r="O89" s="687"/>
      <c r="R89" s="687"/>
      <c r="S89" s="687"/>
      <c r="U89" s="741"/>
    </row>
    <row r="90" spans="2:22" hidden="1" x14ac:dyDescent="0.25">
      <c r="B90" s="902">
        <f t="shared" si="1"/>
        <v>46</v>
      </c>
      <c r="C90" s="602"/>
      <c r="D90" s="603"/>
      <c r="E90" s="604"/>
      <c r="F90" s="605"/>
      <c r="G90" s="606"/>
      <c r="H90" s="489"/>
      <c r="I90" s="545"/>
      <c r="J90" s="275"/>
      <c r="K90" s="275"/>
      <c r="L90" s="323"/>
      <c r="M90" s="502"/>
      <c r="O90" s="687"/>
      <c r="R90" s="687"/>
      <c r="S90" s="687"/>
      <c r="U90" s="741"/>
    </row>
    <row r="91" spans="2:22" ht="15.75" thickBot="1" x14ac:dyDescent="0.3">
      <c r="B91" s="976">
        <f>+B88+1</f>
        <v>45</v>
      </c>
      <c r="C91" s="285" t="s">
        <v>361</v>
      </c>
      <c r="D91" s="489"/>
      <c r="E91" s="220">
        <f>+E88/$G$16</f>
        <v>0</v>
      </c>
      <c r="F91" s="209"/>
      <c r="G91" s="282">
        <f>IF(G88&gt;0,G88/$G$16,0)</f>
        <v>0</v>
      </c>
      <c r="H91" s="489"/>
      <c r="I91" s="548"/>
      <c r="J91" s="527"/>
      <c r="K91" s="222">
        <f>IF(E10="PARA TRABAJADORES INDEPENDIENTES SIN CATEGORÍA DE EMPLEADOS",0,+K88/$G$16)</f>
        <v>0</v>
      </c>
      <c r="L91" s="221"/>
      <c r="M91" s="282">
        <f>IF(C10="PARA TRABAJADORES INDEPENDIENTES sin CATEGORÍA DE EMPLEADOS",0,VLOOKUP(N91,'RF Ordinaria'!G23:H26,2,FALSE))</f>
        <v>0</v>
      </c>
      <c r="N91" s="223" t="s">
        <v>112</v>
      </c>
      <c r="O91" s="341">
        <f>+M88</f>
        <v>0</v>
      </c>
      <c r="P91" s="341">
        <f>+M88</f>
        <v>0</v>
      </c>
      <c r="S91" s="689"/>
    </row>
    <row r="92" spans="2:22" ht="15.75" thickBot="1" x14ac:dyDescent="0.3">
      <c r="B92" s="917">
        <f>+B91+1</f>
        <v>46</v>
      </c>
      <c r="C92" s="700" t="s">
        <v>292</v>
      </c>
      <c r="D92" s="701"/>
      <c r="E92" s="702"/>
      <c r="F92" s="703"/>
      <c r="G92" s="975">
        <f>IF(G88&gt;0,'RF Ordinaria'!F16,0)</f>
        <v>0</v>
      </c>
      <c r="H92" s="512"/>
      <c r="I92" s="564"/>
      <c r="J92" s="711" t="e">
        <f>IF(#REF!="PARA TRABAJADORES INDEPENDIENTES SIN CATEGORÍA DE EMPLEADOS",0,+'RF Ordinaria'!F34)</f>
        <v>#REF!</v>
      </c>
      <c r="K92" s="712" t="e">
        <f>IF(#REF!="PARA TRABAJADORES INDEPENDIENTES SIN CATEGORÍA DE EMPLEADOS",K86*#REF!,+J92*G14)</f>
        <v>#REF!</v>
      </c>
      <c r="L92" s="713">
        <f>+F92</f>
        <v>0</v>
      </c>
      <c r="M92" s="714">
        <f>+E92</f>
        <v>0</v>
      </c>
      <c r="N92" s="277"/>
      <c r="O92" s="341">
        <f>+M77</f>
        <v>0</v>
      </c>
      <c r="P92" s="341">
        <f>+M77</f>
        <v>0</v>
      </c>
    </row>
    <row r="93" spans="2:22" ht="15.75" thickBot="1" x14ac:dyDescent="0.3">
      <c r="B93" s="904">
        <f>+B92+1</f>
        <v>47</v>
      </c>
      <c r="C93" s="285" t="s">
        <v>352</v>
      </c>
      <c r="D93" s="489"/>
      <c r="E93" s="220">
        <f>+E92/$G$16</f>
        <v>0</v>
      </c>
      <c r="F93" s="209"/>
      <c r="G93" s="919">
        <f>IF(G88&gt;0,G92/G91,0)</f>
        <v>0</v>
      </c>
      <c r="H93" s="489"/>
      <c r="I93" s="549"/>
      <c r="J93" s="527"/>
      <c r="K93" s="222"/>
      <c r="L93" s="221"/>
      <c r="M93" s="282"/>
      <c r="N93" s="223"/>
      <c r="O93" s="341"/>
      <c r="P93" s="341"/>
    </row>
    <row r="94" spans="2:22" ht="15.75" thickBot="1" x14ac:dyDescent="0.3">
      <c r="B94" s="918">
        <f>+B93+1</f>
        <v>48</v>
      </c>
      <c r="C94" s="696"/>
      <c r="D94" s="697"/>
      <c r="E94" s="697"/>
      <c r="F94" s="830" t="s">
        <v>364</v>
      </c>
      <c r="G94" s="829">
        <f>+G92*G16</f>
        <v>0</v>
      </c>
      <c r="N94" s="268" t="s">
        <v>125</v>
      </c>
    </row>
    <row r="95" spans="2:22" ht="18" x14ac:dyDescent="0.25">
      <c r="G95" s="689"/>
      <c r="N95" s="270">
        <v>3.5000000000000003E-2</v>
      </c>
      <c r="O95" s="226"/>
    </row>
    <row r="96" spans="2:22" x14ac:dyDescent="0.25">
      <c r="N96" s="270">
        <v>0.04</v>
      </c>
    </row>
    <row r="97" spans="14:14" x14ac:dyDescent="0.25">
      <c r="N97" s="270">
        <v>0.06</v>
      </c>
    </row>
    <row r="98" spans="14:14" x14ac:dyDescent="0.25">
      <c r="N98" s="270">
        <v>0.1</v>
      </c>
    </row>
    <row r="99" spans="14:14" x14ac:dyDescent="0.25">
      <c r="N99" s="270">
        <v>0.11</v>
      </c>
    </row>
    <row r="100" spans="14:14" x14ac:dyDescent="0.25">
      <c r="N100" s="270"/>
    </row>
  </sheetData>
  <sheetProtection password="941B" sheet="1" objects="1" scenarios="1"/>
  <mergeCells count="6">
    <mergeCell ref="C66:D66"/>
    <mergeCell ref="J57:K57"/>
    <mergeCell ref="L57:M57"/>
    <mergeCell ref="B21:F21"/>
    <mergeCell ref="B24:F24"/>
    <mergeCell ref="C63:D63"/>
  </mergeCells>
  <conditionalFormatting sqref="Q85:Q87 Q79">
    <cfRule type="cellIs" dxfId="40" priority="12" stopIfTrue="1" operator="equal">
      <formula>"ERROR"</formula>
    </cfRule>
    <cfRule type="cellIs" dxfId="39" priority="13" stopIfTrue="1" operator="equal">
      <formula>"OK"</formula>
    </cfRule>
  </conditionalFormatting>
  <conditionalFormatting sqref="C55:M55">
    <cfRule type="cellIs" dxfId="38" priority="11" stopIfTrue="1" operator="equal">
      <formula>"ATENCIÓN: EL CONTRIBUYENTE TIENE LA CATEGORÍA DE EMPLEADO Y USTED ELIGIÓ A UN INDEPENDIENTE SIN CATEGORÍA DE EMPLEADO"</formula>
    </cfRule>
  </conditionalFormatting>
  <conditionalFormatting sqref="C56:M56">
    <cfRule type="cellIs" dxfId="37" priority="9" stopIfTrue="1" operator="equal">
      <formula>"ATENCIÓN: EL CONTRIBUYENTE ES INDEPENDIENTE CON CATEGORÍA DE EMPLEADO Y USTED ELIGIÓ A UN ASALARIADO CON CATEGORÍA DE EMPLEADO"</formula>
    </cfRule>
    <cfRule type="cellIs" dxfId="36" priority="10" stopIfTrue="1" operator="equal">
      <formula>"ATENCIÓN: ELIJA LA OPCIÓN ADECUADA SEGÚN EL MONTO DE LOS INGRESOS"</formula>
    </cfRule>
  </conditionalFormatting>
  <conditionalFormatting sqref="D80">
    <cfRule type="cellIs" dxfId="35" priority="7" operator="equal">
      <formula>"NO"</formula>
    </cfRule>
    <cfRule type="cellIs" dxfId="34" priority="8" operator="equal">
      <formula>"O.K."</formula>
    </cfRule>
  </conditionalFormatting>
  <conditionalFormatting sqref="B55">
    <cfRule type="cellIs" dxfId="33" priority="3" stopIfTrue="1" operator="equal">
      <formula>"ATENCIÓN: EL CONTRIBUYENTE TIENE LA CATEGORÍA DE EMPLEADO Y USTED ELIGIÓ A UN INDEPENDIENTE SIN CATEGORÍA DE EMPLEADO"</formula>
    </cfRule>
  </conditionalFormatting>
  <conditionalFormatting sqref="B56">
    <cfRule type="cellIs" dxfId="32" priority="1" stopIfTrue="1" operator="equal">
      <formula>"ATENCIÓN: EL CONTRIBUYENTE ES INDEPENDIENTE CON CATEGORÍA DE EMPLEADO Y USTED ELIGIÓ A UN ASALARIADO CON CATEGORÍA DE EMPLEADO"</formula>
    </cfRule>
    <cfRule type="cellIs" dxfId="31" priority="2" stopIfTrue="1" operator="equal">
      <formula>"ATENCIÓN: ELIJA LA OPCIÓN ADECUADA SEGÚN EL MONTO DE LOS INGRESOS"</formula>
    </cfRule>
  </conditionalFormatting>
  <dataValidations disablePrompts="1" count="9">
    <dataValidation type="decimal" allowBlank="1" showInputMessage="1" showErrorMessage="1" errorTitle="Por favor verifique!" error="El valor de ésta casilla debe ser negativo" sqref="G63">
      <formula1>-9.99999999999999E+27</formula1>
      <formula2>0</formula2>
    </dataValidation>
    <dataValidation type="decimal" allowBlank="1" showInputMessage="1" showErrorMessage="1" errorTitle="Por favor verifique!" error="El valor consignado en ésta casilla debe ser negativo" sqref="G73">
      <formula1>-9.99999999999999E+31</formula1>
      <formula2>0</formula2>
    </dataValidation>
    <dataValidation type="decimal" allowBlank="1" showInputMessage="1" showErrorMessage="1" errorTitle="Por favor verifique!" error="El valor de ésta casilla debe ser negativo" sqref="G68">
      <formula1>-9.99999999999999E+35</formula1>
      <formula2>0</formula2>
    </dataValidation>
    <dataValidation type="decimal" allowBlank="1" showInputMessage="1" showErrorMessage="1" errorTitle="Por favor verifique!" error="Los valores de ésta casilla deben ser negativos" sqref="G66">
      <formula1>-9.99999999999999E+40</formula1>
      <formula2>0</formula2>
    </dataValidation>
    <dataValidation type="list" allowBlank="1" showInputMessage="1" showErrorMessage="1" sqref="D44">
      <formula1>$O$13:$O$14</formula1>
    </dataValidation>
    <dataValidation type="list" allowBlank="1" showInputMessage="1" showErrorMessage="1" sqref="D49">
      <formula1>$O$11:$O$14</formula1>
    </dataValidation>
    <dataValidation type="list" allowBlank="1" showInputMessage="1" showErrorMessage="1" sqref="F77">
      <formula1>$N$13:$N$14</formula1>
    </dataValidation>
    <dataValidation type="list" allowBlank="1" showInputMessage="1" showErrorMessage="1" sqref="F67">
      <formula1>_​0.522</formula1>
    </dataValidation>
    <dataValidation type="list" allowBlank="1" showInputMessage="1" showErrorMessage="1" sqref="E14">
      <formula1>$N$95:$N$100</formula1>
    </dataValidation>
  </dataValidations>
  <printOptions horizontalCentered="1" verticalCentered="1"/>
  <pageMargins left="0.70866141732283472" right="0.70866141732283472" top="0.35433070866141736" bottom="0.35433070866141736" header="0.31496062992125984" footer="0.31496062992125984"/>
  <pageSetup scale="67" orientation="portrait" horizontalDpi="360" verticalDpi="360" r:id="rId1"/>
  <rowBreaks count="1" manualBreakCount="1">
    <brk id="103" min="2" max="19"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9"/>
  <dimension ref="A1:J36"/>
  <sheetViews>
    <sheetView showGridLines="0" topLeftCell="A19" workbookViewId="0">
      <selection activeCell="A18" sqref="A1:XFD18"/>
    </sheetView>
  </sheetViews>
  <sheetFormatPr baseColWidth="10" defaultColWidth="18" defaultRowHeight="12" x14ac:dyDescent="0.2"/>
  <cols>
    <col min="1" max="1" width="9.7109375" style="142" bestFit="1" customWidth="1"/>
    <col min="2" max="4" width="18" style="142" customWidth="1"/>
    <col min="5" max="5" width="1.5703125" style="142" customWidth="1"/>
    <col min="6" max="6" width="17.85546875" style="142" customWidth="1"/>
    <col min="7" max="7" width="9.42578125" style="142" bestFit="1" customWidth="1"/>
    <col min="8" max="8" width="16" style="142" bestFit="1" customWidth="1"/>
    <col min="9" max="16384" width="18" style="142"/>
  </cols>
  <sheetData>
    <row r="1" spans="1:10" ht="26.25" hidden="1" thickBot="1" x14ac:dyDescent="0.25">
      <c r="A1" s="138" t="s">
        <v>70</v>
      </c>
      <c r="B1" s="139"/>
      <c r="C1" s="140"/>
      <c r="D1" s="141"/>
      <c r="F1" s="178" t="s">
        <v>96</v>
      </c>
      <c r="G1" s="178" t="s">
        <v>72</v>
      </c>
      <c r="H1" s="178" t="s">
        <v>97</v>
      </c>
      <c r="I1" s="178" t="s">
        <v>74</v>
      </c>
      <c r="J1" s="178" t="s">
        <v>75</v>
      </c>
    </row>
    <row r="2" spans="1:10" ht="24.75" hidden="1" thickBot="1" x14ac:dyDescent="0.3">
      <c r="A2" s="144" t="s">
        <v>76</v>
      </c>
      <c r="B2" s="144" t="s">
        <v>77</v>
      </c>
      <c r="C2" s="144" t="s">
        <v>78</v>
      </c>
      <c r="D2" s="144" t="s">
        <v>94</v>
      </c>
      <c r="F2" s="179">
        <f>IF(H3&gt;B6,0,VLOOKUP(G2,A2:D6,4,FALSE))</f>
        <v>0</v>
      </c>
      <c r="G2" s="180">
        <v>0</v>
      </c>
      <c r="H2" s="181">
        <f>+'Cálculo % Fijo de Ret.Fte.'!G88</f>
        <v>0</v>
      </c>
      <c r="I2" s="180"/>
      <c r="J2" s="180"/>
    </row>
    <row r="3" spans="1:10" ht="15.75" hidden="1" thickBot="1" x14ac:dyDescent="0.3">
      <c r="A3" s="173">
        <f>+I3-J3</f>
        <v>0</v>
      </c>
      <c r="B3" s="174">
        <v>0</v>
      </c>
      <c r="C3" s="175">
        <f>+B4-0.01</f>
        <v>94.99</v>
      </c>
      <c r="D3" s="172">
        <v>0</v>
      </c>
      <c r="F3" s="179">
        <f>IF(H3&gt;B6,D6,0)</f>
        <v>0</v>
      </c>
      <c r="G3" s="182"/>
      <c r="H3" s="183">
        <f>+H2/'Cálculo % Fijo de Ret.Fte.'!G16</f>
        <v>0</v>
      </c>
      <c r="I3" s="180">
        <f>IF($H$3&gt;=B3,$H$3,0)</f>
        <v>0</v>
      </c>
      <c r="J3" s="180">
        <f>IF($H$3&lt;=C3,$H$3,0)</f>
        <v>0</v>
      </c>
    </row>
    <row r="4" spans="1:10" ht="15.75" hidden="1" thickBot="1" x14ac:dyDescent="0.3">
      <c r="A4" s="173">
        <f>+I4-J4</f>
        <v>0</v>
      </c>
      <c r="B4" s="174">
        <v>95</v>
      </c>
      <c r="C4" s="175">
        <f>+B5-0.01</f>
        <v>149.99</v>
      </c>
      <c r="D4" s="172">
        <v>0.19</v>
      </c>
      <c r="F4" s="184">
        <f>IF(D4=($F$2+$F$3),($H$3-B4)*D4,0)</f>
        <v>0</v>
      </c>
      <c r="G4" s="153"/>
      <c r="H4" s="153"/>
      <c r="I4" s="180">
        <f>IF($H$3&gt;=B4,$H$3,0)</f>
        <v>0</v>
      </c>
      <c r="J4" s="180">
        <f>IF($H$3&lt;=C4,$H$3,0)</f>
        <v>0</v>
      </c>
    </row>
    <row r="5" spans="1:10" ht="15.75" hidden="1" thickBot="1" x14ac:dyDescent="0.3">
      <c r="A5" s="173">
        <f>+I5-J5</f>
        <v>0</v>
      </c>
      <c r="B5" s="174">
        <v>150</v>
      </c>
      <c r="C5" s="175">
        <f>+B6-0.01</f>
        <v>359.99</v>
      </c>
      <c r="D5" s="172">
        <v>0.28000000000000003</v>
      </c>
      <c r="F5" s="185">
        <f>IF(D5=($F$2+$F$3),($H$3-B5)*D5+10,0)</f>
        <v>0</v>
      </c>
      <c r="G5" s="154"/>
      <c r="H5" s="536"/>
      <c r="I5" s="180">
        <f>IF($H$3&gt;=B5,$H$3,0)</f>
        <v>0</v>
      </c>
      <c r="J5" s="180">
        <f>IF($H$3&lt;=C5,$H$3,0)</f>
        <v>0</v>
      </c>
    </row>
    <row r="6" spans="1:10" ht="15.75" hidden="1" thickBot="1" x14ac:dyDescent="0.3">
      <c r="A6" s="173">
        <f>+I6-J6</f>
        <v>0</v>
      </c>
      <c r="B6" s="174">
        <v>360</v>
      </c>
      <c r="C6" s="175" t="s">
        <v>68</v>
      </c>
      <c r="D6" s="172">
        <v>0.33</v>
      </c>
      <c r="F6" s="185">
        <f>IF(D6=($F$2+$F$3),($H$3-B6)*D6+69,0)</f>
        <v>0</v>
      </c>
      <c r="G6" s="154"/>
      <c r="H6" s="536"/>
      <c r="I6" s="180">
        <f>IF($H$3&gt;=B6,$H$3,0)</f>
        <v>0</v>
      </c>
      <c r="J6" s="180">
        <f>IF($H$3&lt;=C6,$H$3,0)</f>
        <v>0</v>
      </c>
    </row>
    <row r="7" spans="1:10" ht="13.5" hidden="1" thickBot="1" x14ac:dyDescent="0.25">
      <c r="F7" s="246">
        <f>SUM(F4:F6)</f>
        <v>0</v>
      </c>
    </row>
    <row r="8" spans="1:10" s="378" customFormat="1" ht="12.75" hidden="1" x14ac:dyDescent="0.2">
      <c r="F8" s="828"/>
    </row>
    <row r="9" spans="1:10" s="378" customFormat="1" ht="13.5" hidden="1" thickBot="1" x14ac:dyDescent="0.25">
      <c r="F9" s="828"/>
    </row>
    <row r="10" spans="1:10" ht="26.25" hidden="1" thickBot="1" x14ac:dyDescent="0.25">
      <c r="A10" s="138" t="s">
        <v>351</v>
      </c>
      <c r="B10" s="139"/>
      <c r="C10" s="140"/>
      <c r="D10" s="141"/>
      <c r="F10" s="178" t="s">
        <v>96</v>
      </c>
      <c r="G10" s="178" t="s">
        <v>72</v>
      </c>
      <c r="H10" s="178" t="s">
        <v>97</v>
      </c>
      <c r="I10" s="178" t="s">
        <v>74</v>
      </c>
      <c r="J10" s="178" t="s">
        <v>75</v>
      </c>
    </row>
    <row r="11" spans="1:10" ht="24.75" hidden="1" thickBot="1" x14ac:dyDescent="0.3">
      <c r="A11" s="144" t="s">
        <v>76</v>
      </c>
      <c r="B11" s="144" t="s">
        <v>77</v>
      </c>
      <c r="C11" s="144" t="s">
        <v>78</v>
      </c>
      <c r="D11" s="144" t="s">
        <v>94</v>
      </c>
      <c r="F11" s="179">
        <f>IF(H12&gt;B15,0,VLOOKUP(G11,A11:D15,4,FALSE))</f>
        <v>0</v>
      </c>
      <c r="G11" s="180">
        <v>0</v>
      </c>
      <c r="H11" s="181">
        <f>+'Ret.Fte.Mes (Procedimiento 1)'!G88</f>
        <v>0</v>
      </c>
      <c r="I11" s="180"/>
      <c r="J11" s="180"/>
    </row>
    <row r="12" spans="1:10" ht="15.75" hidden="1" thickBot="1" x14ac:dyDescent="0.3">
      <c r="A12" s="173">
        <f>+I12-J12</f>
        <v>0</v>
      </c>
      <c r="B12" s="174">
        <v>0</v>
      </c>
      <c r="C12" s="175">
        <f>+B13-0.01</f>
        <v>94.99</v>
      </c>
      <c r="D12" s="172">
        <v>0</v>
      </c>
      <c r="F12" s="179">
        <f>IF(H12&gt;B15,D15,0)</f>
        <v>0</v>
      </c>
      <c r="G12" s="182"/>
      <c r="H12" s="183">
        <f>+H11/'Ret.Fte.Mes (Procedimiento 1)'!G16</f>
        <v>0</v>
      </c>
      <c r="I12" s="180">
        <f>IF($H$12&gt;=B12,$H$12,0)</f>
        <v>0</v>
      </c>
      <c r="J12" s="180">
        <f>IF($H$12&lt;=C12,$H$12,0)</f>
        <v>0</v>
      </c>
    </row>
    <row r="13" spans="1:10" ht="15.75" hidden="1" thickBot="1" x14ac:dyDescent="0.3">
      <c r="A13" s="173">
        <f>+I13-J13</f>
        <v>0</v>
      </c>
      <c r="B13" s="174">
        <v>95</v>
      </c>
      <c r="C13" s="175">
        <f>+B14-0.01</f>
        <v>149.99</v>
      </c>
      <c r="D13" s="172">
        <v>0.19</v>
      </c>
      <c r="F13" s="184">
        <f>IF(D13=($F$11+$F$12),($H$12-B13)*D13,0)</f>
        <v>0</v>
      </c>
      <c r="G13" s="153"/>
      <c r="H13" s="153"/>
      <c r="I13" s="180">
        <f t="shared" ref="I13:I15" si="0">IF($H$12&gt;=B13,$H$12,0)</f>
        <v>0</v>
      </c>
      <c r="J13" s="180">
        <f t="shared" ref="J13:J15" si="1">IF($H$12&lt;=C13,$H$12,0)</f>
        <v>0</v>
      </c>
    </row>
    <row r="14" spans="1:10" ht="15.75" hidden="1" thickBot="1" x14ac:dyDescent="0.3">
      <c r="A14" s="173">
        <f>+I14-J14</f>
        <v>0</v>
      </c>
      <c r="B14" s="174">
        <v>150</v>
      </c>
      <c r="C14" s="175">
        <f>+B15-0.01</f>
        <v>359.99</v>
      </c>
      <c r="D14" s="172">
        <v>0.28000000000000003</v>
      </c>
      <c r="F14" s="185">
        <f>IF(D14=($F$11+$F$12),($H$12-B14)*D14+10,0)</f>
        <v>0</v>
      </c>
      <c r="G14" s="154"/>
      <c r="H14" s="536"/>
      <c r="I14" s="180">
        <f t="shared" si="0"/>
        <v>0</v>
      </c>
      <c r="J14" s="180">
        <f t="shared" si="1"/>
        <v>0</v>
      </c>
    </row>
    <row r="15" spans="1:10" ht="15.75" hidden="1" thickBot="1" x14ac:dyDescent="0.3">
      <c r="A15" s="173">
        <f>+I15-J15</f>
        <v>0</v>
      </c>
      <c r="B15" s="174">
        <v>360</v>
      </c>
      <c r="C15" s="175" t="s">
        <v>68</v>
      </c>
      <c r="D15" s="172">
        <v>0.33</v>
      </c>
      <c r="F15" s="185">
        <f>IF(D15=($F$11+$F$12),($H$12-B15)*D15+69,0)</f>
        <v>0</v>
      </c>
      <c r="G15" s="154"/>
      <c r="H15" s="536"/>
      <c r="I15" s="180">
        <f t="shared" si="0"/>
        <v>0</v>
      </c>
      <c r="J15" s="180">
        <f t="shared" si="1"/>
        <v>0</v>
      </c>
    </row>
    <row r="16" spans="1:10" ht="13.5" hidden="1" thickBot="1" x14ac:dyDescent="0.25">
      <c r="F16" s="246">
        <f>SUM(F13:F15)</f>
        <v>0</v>
      </c>
    </row>
    <row r="17" spans="1:10" s="378" customFormat="1" ht="12.75" hidden="1" x14ac:dyDescent="0.2">
      <c r="D17" s="1006"/>
      <c r="F17" s="828"/>
    </row>
    <row r="18" spans="1:10" s="378" customFormat="1" ht="12.75" hidden="1" x14ac:dyDescent="0.2">
      <c r="F18" s="828"/>
    </row>
    <row r="19" spans="1:10" s="378" customFormat="1" ht="12.75" x14ac:dyDescent="0.2">
      <c r="F19" s="828"/>
    </row>
    <row r="20" spans="1:10" s="378" customFormat="1" ht="12.75" x14ac:dyDescent="0.2">
      <c r="F20" s="828"/>
    </row>
    <row r="21" spans="1:10" ht="12.75" thickBot="1" x14ac:dyDescent="0.25">
      <c r="A21" s="202" t="s">
        <v>109</v>
      </c>
      <c r="B21" s="202"/>
      <c r="C21" s="202"/>
      <c r="D21" s="202"/>
      <c r="F21" s="176"/>
    </row>
    <row r="22" spans="1:10" ht="45.75" thickBot="1" x14ac:dyDescent="0.25">
      <c r="A22" s="243" t="s">
        <v>77</v>
      </c>
      <c r="B22" s="144" t="s">
        <v>78</v>
      </c>
      <c r="C22" s="144" t="s">
        <v>88</v>
      </c>
      <c r="D22" s="144" t="s">
        <v>89</v>
      </c>
      <c r="F22" s="244" t="s">
        <v>110</v>
      </c>
      <c r="G22" s="245" t="s">
        <v>72</v>
      </c>
      <c r="H22" s="244" t="s">
        <v>111</v>
      </c>
      <c r="I22" s="263">
        <f>+'Cálculo % Fijo de Ret.Fte.'!L91</f>
        <v>0</v>
      </c>
    </row>
    <row r="23" spans="1:10" ht="33" customHeight="1" thickBot="1" x14ac:dyDescent="0.35">
      <c r="A23" s="170">
        <v>0</v>
      </c>
      <c r="B23" s="170">
        <v>95</v>
      </c>
      <c r="C23" s="171">
        <v>0</v>
      </c>
      <c r="D23" s="170">
        <v>0</v>
      </c>
      <c r="F23" s="261">
        <v>0</v>
      </c>
      <c r="G23" s="260" t="str">
        <f>IF(I22=0,"OK","")</f>
        <v>OK</v>
      </c>
      <c r="H23" s="261">
        <v>0</v>
      </c>
    </row>
    <row r="24" spans="1:10" ht="33" customHeight="1" thickBot="1" x14ac:dyDescent="0.35">
      <c r="A24" s="170">
        <v>95</v>
      </c>
      <c r="B24" s="170">
        <v>150</v>
      </c>
      <c r="C24" s="171">
        <v>0.19</v>
      </c>
      <c r="D24" s="186" t="s">
        <v>91</v>
      </c>
      <c r="F24" s="261">
        <v>0</v>
      </c>
      <c r="G24" s="260" t="str">
        <f>IF(AND(H24&gt;A24,H24&lt;B24),"OK","")</f>
        <v/>
      </c>
      <c r="H24" s="262">
        <f>+($I$22-F24)/C24+A24</f>
        <v>95</v>
      </c>
    </row>
    <row r="25" spans="1:10" ht="33" customHeight="1" thickBot="1" x14ac:dyDescent="0.35">
      <c r="A25" s="170">
        <v>150</v>
      </c>
      <c r="B25" s="170">
        <v>360</v>
      </c>
      <c r="C25" s="171">
        <v>0.28000000000000003</v>
      </c>
      <c r="D25" s="186" t="s">
        <v>92</v>
      </c>
      <c r="F25" s="261">
        <v>10</v>
      </c>
      <c r="G25" s="260" t="str">
        <f>IF(AND(H25&gt;A25,H25&lt;B25),"OK","")</f>
        <v/>
      </c>
      <c r="H25" s="262">
        <f>+($I$22-F25)/C25+A25</f>
        <v>114.28571428571429</v>
      </c>
    </row>
    <row r="26" spans="1:10" ht="33" customHeight="1" thickBot="1" x14ac:dyDescent="0.35">
      <c r="A26" s="170">
        <v>360</v>
      </c>
      <c r="B26" s="170" t="s">
        <v>68</v>
      </c>
      <c r="C26" s="171">
        <v>0.33</v>
      </c>
      <c r="D26" s="186" t="s">
        <v>93</v>
      </c>
      <c r="F26" s="261">
        <v>69</v>
      </c>
      <c r="G26" s="260" t="str">
        <f>IF(AND(H26&gt;A26,H26&lt;B26),"OK","")</f>
        <v/>
      </c>
      <c r="H26" s="262">
        <f>+($I$22-F26)/C26+A26</f>
        <v>150.90909090909091</v>
      </c>
    </row>
    <row r="27" spans="1:10" s="378" customFormat="1" ht="18.600000000000001" customHeight="1" x14ac:dyDescent="0.3">
      <c r="A27" s="375"/>
      <c r="B27" s="375"/>
      <c r="C27" s="376"/>
      <c r="D27" s="377"/>
      <c r="F27" s="379"/>
      <c r="G27" s="380"/>
      <c r="H27" s="381"/>
    </row>
    <row r="29" spans="1:10" ht="18.75" thickBot="1" x14ac:dyDescent="0.3">
      <c r="A29" s="374" t="s">
        <v>157</v>
      </c>
      <c r="B29" s="374"/>
      <c r="C29" s="374"/>
      <c r="D29" s="374"/>
    </row>
    <row r="30" spans="1:10" ht="26.25" thickBot="1" x14ac:dyDescent="0.25">
      <c r="A30" s="138" t="s">
        <v>70</v>
      </c>
      <c r="B30" s="139"/>
      <c r="C30" s="140"/>
      <c r="D30" s="141"/>
      <c r="F30" s="178" t="s">
        <v>96</v>
      </c>
      <c r="G30" s="178" t="s">
        <v>72</v>
      </c>
      <c r="H30" s="178" t="s">
        <v>97</v>
      </c>
      <c r="I30" s="178" t="s">
        <v>74</v>
      </c>
      <c r="J30" s="178" t="s">
        <v>75</v>
      </c>
    </row>
    <row r="31" spans="1:10" ht="24.75" thickBot="1" x14ac:dyDescent="0.3">
      <c r="A31" s="144" t="s">
        <v>76</v>
      </c>
      <c r="B31" s="144" t="s">
        <v>77</v>
      </c>
      <c r="C31" s="144" t="s">
        <v>78</v>
      </c>
      <c r="D31" s="144" t="s">
        <v>94</v>
      </c>
      <c r="F31" s="179">
        <f>IF(H32&gt;B35,0,VLOOKUP(G31,A31:D35,4,FALSE))</f>
        <v>0</v>
      </c>
      <c r="G31" s="180">
        <v>0</v>
      </c>
      <c r="H31" s="181">
        <f>'Cálculo % Fijo de Ret.Fte.'!K88</f>
        <v>0</v>
      </c>
      <c r="I31" s="180"/>
      <c r="J31" s="180"/>
    </row>
    <row r="32" spans="1:10" ht="15.75" thickBot="1" x14ac:dyDescent="0.3">
      <c r="A32" s="173">
        <f>+I32-J32</f>
        <v>0</v>
      </c>
      <c r="B32" s="174">
        <v>0</v>
      </c>
      <c r="C32" s="175">
        <f>+B33-0.01</f>
        <v>94.99</v>
      </c>
      <c r="D32" s="172">
        <v>0</v>
      </c>
      <c r="F32" s="179">
        <f>IF(H32&gt;B35,D35,0)</f>
        <v>0</v>
      </c>
      <c r="G32" s="182"/>
      <c r="H32" s="183">
        <f>+H31/'Cálculo % Fijo de Ret.Fte.'!G16</f>
        <v>0</v>
      </c>
      <c r="I32" s="180">
        <f>IF($H$32&gt;=B32,$H$32,0)</f>
        <v>0</v>
      </c>
      <c r="J32" s="180">
        <f>IF($H$32&lt;=C32,$H$32,0)</f>
        <v>0</v>
      </c>
    </row>
    <row r="33" spans="1:10" ht="15.75" thickBot="1" x14ac:dyDescent="0.3">
      <c r="A33" s="173">
        <f>+I33-J33</f>
        <v>0</v>
      </c>
      <c r="B33" s="174">
        <v>95</v>
      </c>
      <c r="C33" s="175">
        <f>+B34-0.01</f>
        <v>149.99</v>
      </c>
      <c r="D33" s="172">
        <v>0.19</v>
      </c>
      <c r="F33" s="184">
        <f>IF(D33=($F$31+$F$32),($H$32-B33)*D33,0)</f>
        <v>0</v>
      </c>
      <c r="G33" s="153"/>
      <c r="H33" s="153"/>
      <c r="I33" s="180">
        <f>IF($H$32&gt;=B33,$H$32,0)</f>
        <v>0</v>
      </c>
      <c r="J33" s="180">
        <f>IF($H$32&lt;=C33,$H$32,0)</f>
        <v>0</v>
      </c>
    </row>
    <row r="34" spans="1:10" ht="15.75" thickBot="1" x14ac:dyDescent="0.3">
      <c r="A34" s="173">
        <f>+I34-J34</f>
        <v>0</v>
      </c>
      <c r="B34" s="174">
        <v>150</v>
      </c>
      <c r="C34" s="175">
        <f>+B35-0.01</f>
        <v>359.99</v>
      </c>
      <c r="D34" s="172">
        <v>0.28000000000000003</v>
      </c>
      <c r="F34" s="185">
        <f>IF(D34=($F$31+$F$32),($H$32-B34)*D34+10,0)</f>
        <v>0</v>
      </c>
      <c r="G34" s="154"/>
      <c r="H34" s="154"/>
      <c r="I34" s="180">
        <f>IF($H$32&gt;=B34,$H$32,0)</f>
        <v>0</v>
      </c>
      <c r="J34" s="180">
        <f>IF($H$32&lt;=C34,$H$32,0)</f>
        <v>0</v>
      </c>
    </row>
    <row r="35" spans="1:10" ht="15.75" thickBot="1" x14ac:dyDescent="0.3">
      <c r="A35" s="173">
        <f>+I35-J35</f>
        <v>0</v>
      </c>
      <c r="B35" s="174">
        <v>360</v>
      </c>
      <c r="C35" s="175" t="s">
        <v>68</v>
      </c>
      <c r="D35" s="172">
        <v>0.33</v>
      </c>
      <c r="F35" s="185">
        <f>IF(D35=($F$31+$F$32),($H$32-B35)*D35+69,0)</f>
        <v>0</v>
      </c>
      <c r="G35" s="154"/>
      <c r="H35" s="154"/>
      <c r="I35" s="180">
        <f>IF($H$32&gt;=B35,$H$32,0)</f>
        <v>0</v>
      </c>
      <c r="J35" s="180">
        <f>IF($H$32&lt;=C35,$H$32,0)</f>
        <v>0</v>
      </c>
    </row>
    <row r="36" spans="1:10" ht="13.5" thickBot="1" x14ac:dyDescent="0.25">
      <c r="F36" s="246">
        <f>SUM(F33:F35)</f>
        <v>0</v>
      </c>
    </row>
  </sheetData>
  <sheetProtection password="941B" sheet="1" objects="1" scenarios="1"/>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opLeftCell="A39" workbookViewId="0">
      <selection activeCell="A38" sqref="A1:XFD38"/>
    </sheetView>
  </sheetViews>
  <sheetFormatPr baseColWidth="10" defaultRowHeight="15" x14ac:dyDescent="0.25"/>
  <cols>
    <col min="4" max="4" width="14" customWidth="1"/>
    <col min="6" max="6" width="13.28515625" customWidth="1"/>
    <col min="7" max="7" width="15.140625" bestFit="1" customWidth="1"/>
    <col min="8" max="8" width="14.140625" bestFit="1" customWidth="1"/>
  </cols>
  <sheetData>
    <row r="1" spans="1:19" ht="21" hidden="1" x14ac:dyDescent="0.35">
      <c r="A1" s="962" t="s">
        <v>335</v>
      </c>
      <c r="B1" s="815"/>
    </row>
    <row r="2" spans="1:19" hidden="1" x14ac:dyDescent="0.25">
      <c r="A2" s="814" t="s">
        <v>336</v>
      </c>
      <c r="B2" s="817">
        <v>5.2199999999999998E-3</v>
      </c>
      <c r="C2" s="816"/>
    </row>
    <row r="3" spans="1:19" hidden="1" x14ac:dyDescent="0.25">
      <c r="A3" s="814" t="s">
        <v>337</v>
      </c>
      <c r="B3" s="817">
        <v>1.044E-2</v>
      </c>
      <c r="C3" s="816"/>
    </row>
    <row r="4" spans="1:19" hidden="1" x14ac:dyDescent="0.25">
      <c r="A4" s="814" t="s">
        <v>338</v>
      </c>
      <c r="B4" s="817">
        <v>2.436E-2</v>
      </c>
      <c r="C4" s="816"/>
    </row>
    <row r="5" spans="1:19" hidden="1" x14ac:dyDescent="0.25">
      <c r="A5" s="814" t="s">
        <v>339</v>
      </c>
      <c r="B5" s="817">
        <v>4.3499999999999997E-2</v>
      </c>
      <c r="C5" s="816"/>
    </row>
    <row r="6" spans="1:19" hidden="1" x14ac:dyDescent="0.25">
      <c r="A6" s="814" t="s">
        <v>340</v>
      </c>
      <c r="B6" s="817">
        <v>6.9599999999999995E-2</v>
      </c>
      <c r="C6" s="816"/>
    </row>
    <row r="7" spans="1:19" hidden="1" x14ac:dyDescent="0.25"/>
    <row r="8" spans="1:19" hidden="1" x14ac:dyDescent="0.25"/>
    <row r="9" spans="1:19" s="154" customFormat="1" hidden="1" x14ac:dyDescent="0.25">
      <c r="A9" s="958" t="s">
        <v>341</v>
      </c>
      <c r="B9" s="959"/>
      <c r="C9" s="959"/>
      <c r="D9" s="959"/>
      <c r="E9" s="960"/>
      <c r="F9" s="960"/>
      <c r="G9" s="961"/>
      <c r="K9" s="818"/>
      <c r="O9" s="151"/>
      <c r="P9" s="151"/>
      <c r="Q9" s="190"/>
      <c r="R9" s="190"/>
      <c r="S9" s="151"/>
    </row>
    <row r="10" spans="1:19" s="154" customFormat="1" ht="25.5" hidden="1" x14ac:dyDescent="0.25">
      <c r="A10" s="824" t="s">
        <v>103</v>
      </c>
      <c r="B10" s="824" t="s">
        <v>342</v>
      </c>
      <c r="C10" s="824" t="s">
        <v>72</v>
      </c>
      <c r="D10" s="824" t="s">
        <v>104</v>
      </c>
      <c r="E10" s="824" t="s">
        <v>74</v>
      </c>
      <c r="F10" s="824" t="s">
        <v>75</v>
      </c>
      <c r="G10" s="824" t="s">
        <v>76</v>
      </c>
      <c r="H10" s="188" t="s">
        <v>343</v>
      </c>
      <c r="K10" s="818"/>
      <c r="O10" s="151"/>
      <c r="P10" s="151"/>
      <c r="Q10" s="190"/>
      <c r="R10" s="190"/>
      <c r="S10" s="151"/>
    </row>
    <row r="11" spans="1:19" s="154" customFormat="1" hidden="1" x14ac:dyDescent="0.25">
      <c r="A11" s="768">
        <f>IF(D12&gt;H20,0,VLOOKUP(C11,H:K,4,FALSE))</f>
        <v>0</v>
      </c>
      <c r="B11" s="819">
        <f>IF(D12&gt;H20,0,VLOOKUP(C11,G12:K20,5,FALSE))</f>
        <v>0</v>
      </c>
      <c r="C11" s="820">
        <v>0</v>
      </c>
      <c r="D11" s="194">
        <f>+'Cálculo Cesantías Exentas'!F35</f>
        <v>5000000</v>
      </c>
      <c r="F11" s="818"/>
      <c r="G11" s="195"/>
      <c r="K11" s="818"/>
      <c r="O11" s="151"/>
      <c r="P11" s="151"/>
      <c r="Q11" s="190"/>
      <c r="R11" s="190"/>
      <c r="S11" s="151"/>
    </row>
    <row r="12" spans="1:19" s="154" customFormat="1" hidden="1" x14ac:dyDescent="0.25">
      <c r="A12" s="194">
        <f>IF(D12&gt;H20,K20,0)</f>
        <v>0</v>
      </c>
      <c r="B12" s="819">
        <f>IF(D12&gt;H20,K20,0)</f>
        <v>0</v>
      </c>
      <c r="D12" s="194">
        <f>+D11/'Declaración de Renta'!G15</f>
        <v>156.94152358831099</v>
      </c>
      <c r="E12" s="818"/>
      <c r="F12" s="818"/>
      <c r="G12" s="195"/>
      <c r="H12" s="196" t="s">
        <v>87</v>
      </c>
      <c r="I12" s="197"/>
      <c r="J12" s="1038" t="s">
        <v>344</v>
      </c>
      <c r="K12" s="1038" t="s">
        <v>345</v>
      </c>
      <c r="O12" s="151"/>
      <c r="P12" s="151"/>
      <c r="Q12" s="190"/>
      <c r="R12" s="190"/>
      <c r="S12" s="151"/>
    </row>
    <row r="13" spans="1:19" s="154" customFormat="1" hidden="1" x14ac:dyDescent="0.25">
      <c r="E13" s="818"/>
      <c r="F13" s="818"/>
      <c r="G13" s="195"/>
      <c r="H13" s="198" t="s">
        <v>106</v>
      </c>
      <c r="I13" s="198" t="s">
        <v>90</v>
      </c>
      <c r="J13" s="1039"/>
      <c r="K13" s="1039"/>
      <c r="O13" s="151"/>
      <c r="P13" s="151"/>
      <c r="Q13" s="190"/>
      <c r="R13" s="190"/>
      <c r="S13" s="151"/>
    </row>
    <row r="14" spans="1:19" s="154" customFormat="1" hidden="1" x14ac:dyDescent="0.25">
      <c r="E14" s="818">
        <f t="shared" ref="E14:E20" si="0">IF($D$16&gt;=H14,$D$16,0)</f>
        <v>0</v>
      </c>
      <c r="F14" s="818">
        <f t="shared" ref="F14:F20" si="1">IF($D$16&lt;=I14,$D$16,0)</f>
        <v>0</v>
      </c>
      <c r="G14" s="195">
        <f t="shared" ref="G14:G20" si="2">+E14-F14</f>
        <v>0</v>
      </c>
      <c r="H14" s="821">
        <v>0</v>
      </c>
      <c r="I14" s="821">
        <v>350</v>
      </c>
      <c r="J14" s="822">
        <v>1</v>
      </c>
      <c r="K14" s="822">
        <f t="shared" ref="K14:K20" si="3">1-J14</f>
        <v>0</v>
      </c>
      <c r="O14" s="151"/>
      <c r="P14" s="151"/>
      <c r="Q14" s="190"/>
      <c r="R14" s="190"/>
      <c r="S14" s="151"/>
    </row>
    <row r="15" spans="1:19" s="154" customFormat="1" hidden="1" x14ac:dyDescent="0.25">
      <c r="E15" s="818">
        <f t="shared" si="0"/>
        <v>0</v>
      </c>
      <c r="F15" s="818">
        <f t="shared" si="1"/>
        <v>0</v>
      </c>
      <c r="G15" s="195">
        <f t="shared" si="2"/>
        <v>0</v>
      </c>
      <c r="H15" s="821">
        <v>350</v>
      </c>
      <c r="I15" s="821">
        <v>410</v>
      </c>
      <c r="J15" s="822">
        <v>0.9</v>
      </c>
      <c r="K15" s="822">
        <f t="shared" si="3"/>
        <v>9.9999999999999978E-2</v>
      </c>
      <c r="O15" s="151"/>
      <c r="P15" s="151"/>
      <c r="Q15" s="190"/>
      <c r="R15" s="190"/>
      <c r="S15" s="151"/>
    </row>
    <row r="16" spans="1:19" s="154" customFormat="1" hidden="1" x14ac:dyDescent="0.25">
      <c r="E16" s="818">
        <f t="shared" si="0"/>
        <v>0</v>
      </c>
      <c r="F16" s="818">
        <f t="shared" si="1"/>
        <v>0</v>
      </c>
      <c r="G16" s="195">
        <f t="shared" si="2"/>
        <v>0</v>
      </c>
      <c r="H16" s="821">
        <v>410</v>
      </c>
      <c r="I16" s="821">
        <v>470</v>
      </c>
      <c r="J16" s="822">
        <v>0.8</v>
      </c>
      <c r="K16" s="822">
        <f t="shared" si="3"/>
        <v>0.19999999999999996</v>
      </c>
      <c r="O16" s="151"/>
      <c r="P16" s="151"/>
      <c r="Q16" s="190"/>
      <c r="R16" s="190"/>
      <c r="S16" s="151"/>
    </row>
    <row r="17" spans="1:19" s="154" customFormat="1" hidden="1" x14ac:dyDescent="0.25">
      <c r="E17" s="818">
        <f t="shared" si="0"/>
        <v>0</v>
      </c>
      <c r="F17" s="818">
        <f t="shared" si="1"/>
        <v>0</v>
      </c>
      <c r="G17" s="195">
        <f t="shared" si="2"/>
        <v>0</v>
      </c>
      <c r="H17" s="821">
        <v>470</v>
      </c>
      <c r="I17" s="821">
        <v>530</v>
      </c>
      <c r="J17" s="822">
        <v>0.6</v>
      </c>
      <c r="K17" s="822">
        <f t="shared" si="3"/>
        <v>0.4</v>
      </c>
      <c r="O17" s="151"/>
      <c r="P17" s="151"/>
      <c r="Q17" s="190"/>
      <c r="R17" s="190"/>
      <c r="S17" s="151"/>
    </row>
    <row r="18" spans="1:19" s="154" customFormat="1" hidden="1" x14ac:dyDescent="0.25">
      <c r="E18" s="818">
        <f t="shared" si="0"/>
        <v>0</v>
      </c>
      <c r="F18" s="818">
        <f t="shared" si="1"/>
        <v>0</v>
      </c>
      <c r="G18" s="195">
        <f t="shared" si="2"/>
        <v>0</v>
      </c>
      <c r="H18" s="821">
        <v>530</v>
      </c>
      <c r="I18" s="821">
        <v>590</v>
      </c>
      <c r="J18" s="822">
        <v>0.4</v>
      </c>
      <c r="K18" s="822">
        <f t="shared" si="3"/>
        <v>0.6</v>
      </c>
      <c r="O18" s="151"/>
      <c r="P18" s="151"/>
      <c r="Q18" s="190"/>
      <c r="R18" s="190"/>
      <c r="S18" s="151"/>
    </row>
    <row r="19" spans="1:19" s="154" customFormat="1" hidden="1" x14ac:dyDescent="0.25">
      <c r="E19" s="818">
        <f t="shared" si="0"/>
        <v>0</v>
      </c>
      <c r="F19" s="818">
        <f t="shared" si="1"/>
        <v>0</v>
      </c>
      <c r="G19" s="195">
        <f t="shared" si="2"/>
        <v>0</v>
      </c>
      <c r="H19" s="823">
        <v>590</v>
      </c>
      <c r="I19" s="823">
        <v>650</v>
      </c>
      <c r="J19" s="822">
        <v>0.2</v>
      </c>
      <c r="K19" s="822">
        <f t="shared" si="3"/>
        <v>0.8</v>
      </c>
      <c r="O19" s="151"/>
      <c r="P19" s="151"/>
      <c r="Q19" s="190"/>
      <c r="R19" s="190"/>
      <c r="S19" s="151"/>
    </row>
    <row r="20" spans="1:19" s="154" customFormat="1" hidden="1" x14ac:dyDescent="0.25">
      <c r="E20" s="818">
        <f t="shared" si="0"/>
        <v>0</v>
      </c>
      <c r="F20" s="818">
        <f t="shared" si="1"/>
        <v>0</v>
      </c>
      <c r="G20" s="195">
        <f t="shared" si="2"/>
        <v>0</v>
      </c>
      <c r="H20" s="823">
        <v>650</v>
      </c>
      <c r="I20" s="821" t="s">
        <v>68</v>
      </c>
      <c r="J20" s="822">
        <v>0</v>
      </c>
      <c r="K20" s="822">
        <f t="shared" si="3"/>
        <v>1</v>
      </c>
      <c r="O20" s="151"/>
      <c r="P20" s="151"/>
      <c r="Q20" s="190"/>
      <c r="R20" s="190"/>
      <c r="S20" s="151"/>
    </row>
    <row r="21" spans="1:19" hidden="1" x14ac:dyDescent="0.25"/>
    <row r="22" spans="1:19" hidden="1" x14ac:dyDescent="0.25"/>
    <row r="23" spans="1:19" hidden="1" x14ac:dyDescent="0.25"/>
    <row r="24" spans="1:19" hidden="1" x14ac:dyDescent="0.25">
      <c r="A24" s="963" t="s">
        <v>372</v>
      </c>
      <c r="B24" s="964"/>
      <c r="C24" s="964"/>
      <c r="D24" s="964"/>
      <c r="E24" s="964"/>
      <c r="F24" s="965"/>
      <c r="G24" s="952" t="s">
        <v>99</v>
      </c>
      <c r="H24" s="952" t="s">
        <v>98</v>
      </c>
    </row>
    <row r="25" spans="1:19" hidden="1" x14ac:dyDescent="0.25">
      <c r="A25" s="957" t="s">
        <v>373</v>
      </c>
      <c r="B25" s="955"/>
      <c r="C25" s="955"/>
      <c r="D25" s="955"/>
      <c r="E25" s="955"/>
      <c r="F25" s="956"/>
      <c r="G25" s="953">
        <v>3800</v>
      </c>
      <c r="H25" s="953">
        <f>+G25/12</f>
        <v>316.66666666666669</v>
      </c>
    </row>
    <row r="26" spans="1:19" hidden="1" x14ac:dyDescent="0.25">
      <c r="A26" s="957" t="s">
        <v>374</v>
      </c>
      <c r="B26" s="955"/>
      <c r="C26" s="955"/>
      <c r="D26" s="955"/>
      <c r="E26" s="955"/>
      <c r="F26" s="956"/>
      <c r="G26" s="954">
        <f>+G25*'Ret.Fte.Mes (Procedimiento 2)'!G16</f>
        <v>121064200</v>
      </c>
      <c r="H26" s="954">
        <f>+H25*'Ret.Fte.Mes (Procedimiento 2)'!G16</f>
        <v>10088683.333333334</v>
      </c>
    </row>
    <row r="27" spans="1:19" hidden="1" x14ac:dyDescent="0.25">
      <c r="A27" s="957" t="s">
        <v>375</v>
      </c>
      <c r="B27" s="955"/>
      <c r="C27" s="955"/>
      <c r="D27" s="955"/>
      <c r="E27" s="955"/>
      <c r="F27" s="956"/>
      <c r="G27" s="954">
        <f>+G25*'Ret.Fte.Mes (Procedimiento 1)'!G16</f>
        <v>121064200</v>
      </c>
      <c r="H27" s="954">
        <f>+H25*'Ret.Fte.Mes (Procedimiento 1)'!G16</f>
        <v>10088683.333333334</v>
      </c>
    </row>
    <row r="28" spans="1:19" hidden="1" x14ac:dyDescent="0.25">
      <c r="A28" s="957" t="s">
        <v>376</v>
      </c>
      <c r="B28" s="955"/>
      <c r="C28" s="955"/>
      <c r="D28" s="955"/>
      <c r="E28" s="955"/>
      <c r="F28" s="956"/>
      <c r="G28" s="954">
        <f>+G25*'Cálculo % Fijo de Ret.Fte.'!G16</f>
        <v>121064200</v>
      </c>
      <c r="H28" s="954">
        <f>+H25*'Cálculo % Fijo de Ret.Fte.'!G16</f>
        <v>10088683.333333334</v>
      </c>
    </row>
    <row r="29" spans="1:19" hidden="1" x14ac:dyDescent="0.25">
      <c r="A29" s="957" t="s">
        <v>377</v>
      </c>
      <c r="B29" s="955"/>
      <c r="C29" s="955"/>
      <c r="D29" s="955"/>
      <c r="E29" s="955"/>
      <c r="F29" s="956"/>
      <c r="G29" s="954">
        <f>+G25*'Declaración de Renta'!G15</f>
        <v>121064200</v>
      </c>
      <c r="H29" s="954">
        <f>+H25*'Declaración de Renta'!G15</f>
        <v>10088683.333333334</v>
      </c>
    </row>
    <row r="30" spans="1:19" hidden="1" x14ac:dyDescent="0.25"/>
    <row r="31" spans="1:19" ht="30" hidden="1" x14ac:dyDescent="0.25">
      <c r="A31" s="1040" t="s">
        <v>406</v>
      </c>
      <c r="B31" s="1040"/>
      <c r="C31" s="1040"/>
      <c r="D31" s="1040"/>
      <c r="E31" s="1040"/>
      <c r="F31" s="1040"/>
      <c r="G31" s="1004" t="s">
        <v>407</v>
      </c>
      <c r="H31" s="1004" t="s">
        <v>402</v>
      </c>
    </row>
    <row r="32" spans="1:19" hidden="1" x14ac:dyDescent="0.25">
      <c r="A32" s="957" t="s">
        <v>401</v>
      </c>
      <c r="B32" s="955"/>
      <c r="C32" s="955"/>
      <c r="D32" s="955"/>
      <c r="E32" s="955"/>
      <c r="F32" s="956"/>
      <c r="G32" s="1003">
        <v>25</v>
      </c>
      <c r="H32" s="1003"/>
    </row>
    <row r="33" spans="1:8" hidden="1" x14ac:dyDescent="0.25">
      <c r="A33" s="957" t="s">
        <v>400</v>
      </c>
      <c r="B33" s="955"/>
      <c r="C33" s="955"/>
      <c r="D33" s="955"/>
      <c r="E33" s="955"/>
      <c r="F33" s="956"/>
      <c r="G33" s="954">
        <f>+'Cálculo % Fijo de Ret.Fte.'!G17</f>
        <v>737717</v>
      </c>
      <c r="H33" s="954">
        <f>+$G$32*G33</f>
        <v>18442925</v>
      </c>
    </row>
    <row r="34" spans="1:8" hidden="1" x14ac:dyDescent="0.25">
      <c r="A34" s="957" t="s">
        <v>403</v>
      </c>
      <c r="B34" s="955"/>
      <c r="C34" s="955"/>
      <c r="D34" s="955"/>
      <c r="E34" s="955"/>
      <c r="F34" s="956"/>
      <c r="G34" s="954">
        <f>+'Ret.Fte.Mes (Procedimiento 2)'!G17</f>
        <v>737717</v>
      </c>
      <c r="H34" s="954">
        <f t="shared" ref="H34:H35" si="4">+$G$32*G34</f>
        <v>18442925</v>
      </c>
    </row>
    <row r="35" spans="1:8" hidden="1" x14ac:dyDescent="0.25">
      <c r="A35" s="957" t="s">
        <v>404</v>
      </c>
      <c r="B35" s="955"/>
      <c r="C35" s="955"/>
      <c r="D35" s="955"/>
      <c r="E35" s="955"/>
      <c r="F35" s="956"/>
      <c r="G35" s="954">
        <f>+'Ret.Fte.Mes (Procedimiento 1)'!G17</f>
        <v>737717</v>
      </c>
      <c r="H35" s="954">
        <f t="shared" si="4"/>
        <v>18442925</v>
      </c>
    </row>
    <row r="36" spans="1:8" hidden="1" x14ac:dyDescent="0.25">
      <c r="A36" s="957" t="s">
        <v>405</v>
      </c>
      <c r="B36" s="955"/>
      <c r="C36" s="955"/>
      <c r="D36" s="955"/>
      <c r="E36" s="955"/>
      <c r="F36" s="956"/>
      <c r="G36" s="954">
        <f>+'Declaración de Renta'!G16</f>
        <v>737717</v>
      </c>
      <c r="H36" s="954">
        <f>+$G$32*G36*12</f>
        <v>221315100</v>
      </c>
    </row>
    <row r="37" spans="1:8" hidden="1" x14ac:dyDescent="0.25"/>
    <row r="38" spans="1:8" hidden="1" x14ac:dyDescent="0.25"/>
  </sheetData>
  <sheetProtection password="941B" sheet="1" objects="1" scenarios="1"/>
  <mergeCells count="3">
    <mergeCell ref="J12:J13"/>
    <mergeCell ref="K12:K13"/>
    <mergeCell ref="A31:F3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5348158E605B94E83150C2879A0F97C" ma:contentTypeVersion="1" ma:contentTypeDescription="Crear nuevo documento." ma:contentTypeScope="" ma:versionID="2083c1abe87560c568cd47bd2926d187">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A77074-BC33-4A40-BB41-7285F2F65B3C}"/>
</file>

<file path=customXml/itemProps2.xml><?xml version="1.0" encoding="utf-8"?>
<ds:datastoreItem xmlns:ds="http://schemas.openxmlformats.org/officeDocument/2006/customXml" ds:itemID="{A3565B43-64B7-4111-A4C2-0C6AA626561B}"/>
</file>

<file path=customXml/itemProps3.xml><?xml version="1.0" encoding="utf-8"?>
<ds:datastoreItem xmlns:ds="http://schemas.openxmlformats.org/officeDocument/2006/customXml" ds:itemID="{A6C757C4-1CA6-44BB-BED8-106F79ADB8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14</vt:i4>
      </vt:variant>
    </vt:vector>
  </HeadingPairs>
  <TitlesOfParts>
    <vt:vector size="35" baseType="lpstr">
      <vt:lpstr>Instructivo</vt:lpstr>
      <vt:lpstr>Cálculo % Fijo de Ret.Fte.</vt:lpstr>
      <vt:lpstr>Ret.Fte.Sistema IMAN</vt:lpstr>
      <vt:lpstr>Cálculo de la Ret.Fte. del Mes</vt:lpstr>
      <vt:lpstr>Ret.Fte.Mes (Procedimiento 2)</vt:lpstr>
      <vt:lpstr>APPensiones</vt:lpstr>
      <vt:lpstr>Ret.Fte.Mes (Procedimiento 1)</vt:lpstr>
      <vt:lpstr>RF Ordinaria</vt:lpstr>
      <vt:lpstr>Datos</vt:lpstr>
      <vt:lpstr>Declaración de Renta</vt:lpstr>
      <vt:lpstr>Cálculo Cesantías Exentas</vt:lpstr>
      <vt:lpstr>VARIABLES</vt:lpstr>
      <vt:lpstr>Impuesto de Renta</vt:lpstr>
      <vt:lpstr>Impto ROrdinario</vt:lpstr>
      <vt:lpstr>IMAN</vt:lpstr>
      <vt:lpstr>IMAS</vt:lpstr>
      <vt:lpstr>RF IMAN</vt:lpstr>
      <vt:lpstr>12</vt:lpstr>
      <vt:lpstr>16</vt:lpstr>
      <vt:lpstr>20</vt:lpstr>
      <vt:lpstr>30</vt:lpstr>
      <vt:lpstr>_​0.522</vt:lpstr>
      <vt:lpstr>'Cálculo % Fijo de Ret.Fte.'!Área_de_impresión</vt:lpstr>
      <vt:lpstr>'Cálculo Cesantías Exentas'!Área_de_impresión</vt:lpstr>
      <vt:lpstr>'Declaración de Renta'!Área_de_impresión</vt:lpstr>
      <vt:lpstr>Instructivo!Área_de_impresión</vt:lpstr>
      <vt:lpstr>'Ret.Fte.Mes (Procedimiento 1)'!Área_de_impresión</vt:lpstr>
      <vt:lpstr>'Ret.Fte.Mes (Procedimiento 2)'!Área_de_impresión</vt:lpstr>
      <vt:lpstr>Datos!ARL</vt:lpstr>
      <vt:lpstr>ARL</vt:lpstr>
      <vt:lpstr>MES</vt:lpstr>
      <vt:lpstr>'Declaración de Renta'!OLE_LINK1</vt:lpstr>
      <vt:lpstr>'Cálculo % Fijo de Ret.Fte.'!OLE_LINK3</vt:lpstr>
      <vt:lpstr>'Cálculo % Fijo de Ret.Fte.'!OLE_LINK5</vt:lpstr>
      <vt:lpstr>'Declaración de Renta'!OLE_LINK8</vt:lpstr>
    </vt:vector>
  </TitlesOfParts>
  <Company>GIL GOMEZ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Carlos Mario Muñoz Blandon</cp:lastModifiedBy>
  <cp:lastPrinted>2017-04-24T15:21:33Z</cp:lastPrinted>
  <dcterms:created xsi:type="dcterms:W3CDTF">2013-01-15T15:31:04Z</dcterms:created>
  <dcterms:modified xsi:type="dcterms:W3CDTF">2017-05-22T16:00:28Z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0x01010005348158E605B94E83150C2879A0F97C</vt:lpwstr>
  </property>
</Properties>
</file>